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DCFs\"/>
    </mc:Choice>
  </mc:AlternateContent>
  <xr:revisionPtr revIDLastSave="0" documentId="13_ncr:1_{93CC94CA-3A64-49B3-8003-C5A9F7F01C7E}" xr6:coauthVersionLast="47" xr6:coauthVersionMax="47" xr10:uidLastSave="{00000000-0000-0000-0000-000000000000}"/>
  <bookViews>
    <workbookView xWindow="-90" yWindow="-90" windowWidth="19380" windowHeight="10260" xr2:uid="{40F117DA-0DC7-422E-B05C-5931BE569FE0}"/>
  </bookViews>
  <sheets>
    <sheet name="DCF" sheetId="1" r:id="rId1"/>
    <sheet name="BALACNCESHEET" sheetId="5" r:id="rId2"/>
    <sheet name="IS" sheetId="2" r:id="rId3"/>
    <sheet name="CASHFLOW" sheetId="4" r:id="rId4"/>
    <sheet name="WACC" sheetId="3" r:id="rId5"/>
  </sheets>
  <definedNames>
    <definedName name="tgr">DCF!$D$17</definedName>
    <definedName name="wacc">DCF!$D$16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3" i="1" l="1"/>
  <c r="L27" i="5" l="1"/>
  <c r="K27" i="5"/>
  <c r="J27" i="5"/>
  <c r="I27" i="5"/>
  <c r="J28" i="5" s="1"/>
  <c r="H27" i="5"/>
  <c r="G27" i="5"/>
  <c r="F27" i="5"/>
  <c r="G28" i="5" s="1"/>
  <c r="E27" i="5"/>
  <c r="D27" i="5"/>
  <c r="C27" i="5"/>
  <c r="I28" i="5"/>
  <c r="B27" i="5"/>
  <c r="C28" i="5" s="1"/>
  <c r="L28" i="5"/>
  <c r="K28" i="5"/>
  <c r="D28" i="5"/>
  <c r="O33" i="1"/>
  <c r="N33" i="1"/>
  <c r="M33" i="1"/>
  <c r="L33" i="1"/>
  <c r="L34" i="1" s="1"/>
  <c r="L62" i="1" s="1"/>
  <c r="K33" i="1"/>
  <c r="K34" i="1" s="1"/>
  <c r="K62" i="1" s="1"/>
  <c r="J33" i="1"/>
  <c r="I33" i="1"/>
  <c r="H33" i="1"/>
  <c r="H34" i="1" s="1"/>
  <c r="H62" i="1" s="1"/>
  <c r="M34" i="1"/>
  <c r="O34" i="1"/>
  <c r="G33" i="1"/>
  <c r="F33" i="1"/>
  <c r="F34" i="1" s="1"/>
  <c r="F62" i="1" s="1"/>
  <c r="G34" i="1"/>
  <c r="G62" i="1" s="1"/>
  <c r="E33" i="1"/>
  <c r="J61" i="1"/>
  <c r="P26" i="1"/>
  <c r="T77" i="1"/>
  <c r="T74" i="1"/>
  <c r="E34" i="1"/>
  <c r="E62" i="1" s="1"/>
  <c r="R38" i="1"/>
  <c r="S38" i="1" s="1"/>
  <c r="T38" i="1" s="1"/>
  <c r="Q38" i="1"/>
  <c r="D17" i="1"/>
  <c r="D14" i="3"/>
  <c r="D7" i="3"/>
  <c r="D19" i="3" s="1"/>
  <c r="D13" i="3" s="1"/>
  <c r="T65" i="1"/>
  <c r="S65" i="1"/>
  <c r="R65" i="1"/>
  <c r="Q65" i="1"/>
  <c r="P65" i="1"/>
  <c r="Q64" i="1"/>
  <c r="P64" i="1"/>
  <c r="T59" i="1"/>
  <c r="S59" i="1"/>
  <c r="R59" i="1"/>
  <c r="Q59" i="1"/>
  <c r="P59" i="1"/>
  <c r="Q58" i="1"/>
  <c r="P58" i="1"/>
  <c r="O56" i="1"/>
  <c r="O65" i="1"/>
  <c r="N65" i="1"/>
  <c r="M65" i="1"/>
  <c r="L65" i="1"/>
  <c r="K65" i="1"/>
  <c r="J65" i="1"/>
  <c r="I65" i="1"/>
  <c r="H65" i="1"/>
  <c r="G65" i="1"/>
  <c r="F65" i="1"/>
  <c r="E65" i="1"/>
  <c r="O64" i="1"/>
  <c r="N64" i="1"/>
  <c r="M64" i="1"/>
  <c r="L64" i="1"/>
  <c r="K64" i="1"/>
  <c r="J64" i="1"/>
  <c r="I64" i="1"/>
  <c r="H64" i="1"/>
  <c r="G64" i="1"/>
  <c r="F64" i="1"/>
  <c r="E64" i="1"/>
  <c r="O59" i="1"/>
  <c r="N59" i="1"/>
  <c r="M59" i="1"/>
  <c r="L59" i="1"/>
  <c r="K59" i="1"/>
  <c r="J59" i="1"/>
  <c r="I59" i="1"/>
  <c r="H59" i="1"/>
  <c r="G59" i="1"/>
  <c r="F59" i="1"/>
  <c r="E59" i="1"/>
  <c r="O58" i="1"/>
  <c r="N58" i="1"/>
  <c r="M58" i="1"/>
  <c r="L58" i="1"/>
  <c r="K58" i="1"/>
  <c r="J58" i="1"/>
  <c r="I58" i="1"/>
  <c r="H58" i="1"/>
  <c r="G58" i="1"/>
  <c r="F58" i="1"/>
  <c r="E58" i="1"/>
  <c r="P54" i="1"/>
  <c r="Q54" i="1" s="1"/>
  <c r="T48" i="1"/>
  <c r="S48" i="1"/>
  <c r="R48" i="1"/>
  <c r="Q48" i="1"/>
  <c r="P48" i="1"/>
  <c r="T42" i="1"/>
  <c r="P42" i="1"/>
  <c r="P41" i="1" s="1"/>
  <c r="S49" i="1"/>
  <c r="R49" i="1"/>
  <c r="S51" i="1"/>
  <c r="R51" i="1"/>
  <c r="Q45" i="1"/>
  <c r="Q43" i="1"/>
  <c r="R44" i="1"/>
  <c r="R42" i="1" s="1"/>
  <c r="Q49" i="1"/>
  <c r="Q51" i="1"/>
  <c r="Q50" i="1"/>
  <c r="P51" i="1"/>
  <c r="P49" i="1"/>
  <c r="P50" i="1"/>
  <c r="P45" i="1"/>
  <c r="P43" i="1"/>
  <c r="Q44" i="1"/>
  <c r="Q42" i="1" s="1"/>
  <c r="Q36" i="1"/>
  <c r="P36" i="1"/>
  <c r="Q30" i="1"/>
  <c r="P30" i="1"/>
  <c r="P37" i="1"/>
  <c r="S31" i="1"/>
  <c r="R31" i="1"/>
  <c r="Q31" i="1"/>
  <c r="T31" i="1" s="1"/>
  <c r="P31" i="1"/>
  <c r="Q26" i="1"/>
  <c r="Q27" i="1"/>
  <c r="P27" i="1"/>
  <c r="Q21" i="1"/>
  <c r="Q23" i="1"/>
  <c r="P23" i="1"/>
  <c r="Q24" i="1"/>
  <c r="R24" i="1" s="1"/>
  <c r="P24" i="1"/>
  <c r="P21" i="1"/>
  <c r="O54" i="1"/>
  <c r="N54" i="1"/>
  <c r="M54" i="1"/>
  <c r="L54" i="1"/>
  <c r="K54" i="1"/>
  <c r="J54" i="1"/>
  <c r="I54" i="1"/>
  <c r="H54" i="1"/>
  <c r="G54" i="1"/>
  <c r="F54" i="1"/>
  <c r="E54" i="1"/>
  <c r="O53" i="1"/>
  <c r="N53" i="1"/>
  <c r="M53" i="1"/>
  <c r="L53" i="1"/>
  <c r="K53" i="1"/>
  <c r="J53" i="1"/>
  <c r="I53" i="1"/>
  <c r="H53" i="1"/>
  <c r="G53" i="1"/>
  <c r="F53" i="1"/>
  <c r="E53" i="1"/>
  <c r="O48" i="1"/>
  <c r="N48" i="1"/>
  <c r="M48" i="1"/>
  <c r="L48" i="1"/>
  <c r="K48" i="1"/>
  <c r="J48" i="1"/>
  <c r="I48" i="1"/>
  <c r="H48" i="1"/>
  <c r="G48" i="1"/>
  <c r="F48" i="1"/>
  <c r="E48" i="1"/>
  <c r="O47" i="1"/>
  <c r="N47" i="1"/>
  <c r="M47" i="1"/>
  <c r="L47" i="1"/>
  <c r="K47" i="1"/>
  <c r="J47" i="1"/>
  <c r="I47" i="1"/>
  <c r="H47" i="1"/>
  <c r="G47" i="1"/>
  <c r="F47" i="1"/>
  <c r="E47" i="1"/>
  <c r="O42" i="1"/>
  <c r="N42" i="1"/>
  <c r="M42" i="1"/>
  <c r="L42" i="1"/>
  <c r="K42" i="1"/>
  <c r="J42" i="1"/>
  <c r="I42" i="1"/>
  <c r="H42" i="1"/>
  <c r="G42" i="1"/>
  <c r="F42" i="1"/>
  <c r="E42" i="1"/>
  <c r="O41" i="1"/>
  <c r="N41" i="1"/>
  <c r="M41" i="1"/>
  <c r="L41" i="1"/>
  <c r="K41" i="1"/>
  <c r="J41" i="1"/>
  <c r="I41" i="1"/>
  <c r="H41" i="1"/>
  <c r="G41" i="1"/>
  <c r="F41" i="1"/>
  <c r="E41" i="1"/>
  <c r="O37" i="1"/>
  <c r="N37" i="1"/>
  <c r="M37" i="1"/>
  <c r="L37" i="1"/>
  <c r="K37" i="1"/>
  <c r="J37" i="1"/>
  <c r="I37" i="1"/>
  <c r="H37" i="1"/>
  <c r="G37" i="1"/>
  <c r="F37" i="1"/>
  <c r="E37" i="1"/>
  <c r="O36" i="1"/>
  <c r="N36" i="1"/>
  <c r="M36" i="1"/>
  <c r="L36" i="1"/>
  <c r="K36" i="1"/>
  <c r="J36" i="1"/>
  <c r="I36" i="1"/>
  <c r="H36" i="1"/>
  <c r="G36" i="1"/>
  <c r="F36" i="1"/>
  <c r="E36" i="1"/>
  <c r="N34" i="1"/>
  <c r="I61" i="1"/>
  <c r="O31" i="1"/>
  <c r="N31" i="1"/>
  <c r="M31" i="1"/>
  <c r="L31" i="1"/>
  <c r="K31" i="1"/>
  <c r="J31" i="1"/>
  <c r="I31" i="1"/>
  <c r="H31" i="1"/>
  <c r="G31" i="1"/>
  <c r="F31" i="1"/>
  <c r="E31" i="1"/>
  <c r="O30" i="1"/>
  <c r="N30" i="1"/>
  <c r="M30" i="1"/>
  <c r="L30" i="1"/>
  <c r="K30" i="1"/>
  <c r="J30" i="1"/>
  <c r="I30" i="1"/>
  <c r="H30" i="1"/>
  <c r="G30" i="1"/>
  <c r="F30" i="1"/>
  <c r="E30" i="1"/>
  <c r="O27" i="1"/>
  <c r="N27" i="1"/>
  <c r="M27" i="1"/>
  <c r="L27" i="1"/>
  <c r="K27" i="1"/>
  <c r="J27" i="1"/>
  <c r="I27" i="1"/>
  <c r="H27" i="1"/>
  <c r="G27" i="1"/>
  <c r="F27" i="1"/>
  <c r="E27" i="1"/>
  <c r="O26" i="1"/>
  <c r="N26" i="1"/>
  <c r="M26" i="1"/>
  <c r="L26" i="1"/>
  <c r="K26" i="1"/>
  <c r="J26" i="1"/>
  <c r="I26" i="1"/>
  <c r="H26" i="1"/>
  <c r="G26" i="1"/>
  <c r="F26" i="1"/>
  <c r="E26" i="1"/>
  <c r="O24" i="1"/>
  <c r="N24" i="1"/>
  <c r="M24" i="1"/>
  <c r="L24" i="1"/>
  <c r="K24" i="1"/>
  <c r="J24" i="1"/>
  <c r="I24" i="1"/>
  <c r="H24" i="1"/>
  <c r="G24" i="1"/>
  <c r="F24" i="1"/>
  <c r="E24" i="1"/>
  <c r="O23" i="1"/>
  <c r="N23" i="1"/>
  <c r="M23" i="1"/>
  <c r="L23" i="1"/>
  <c r="K23" i="1"/>
  <c r="J23" i="1"/>
  <c r="I23" i="1"/>
  <c r="H23" i="1"/>
  <c r="G23" i="1"/>
  <c r="F23" i="1"/>
  <c r="E23" i="1"/>
  <c r="O21" i="1"/>
  <c r="N21" i="1"/>
  <c r="M21" i="1"/>
  <c r="L21" i="1"/>
  <c r="K21" i="1"/>
  <c r="J21" i="1"/>
  <c r="I21" i="1"/>
  <c r="H21" i="1"/>
  <c r="G21" i="1"/>
  <c r="F21" i="1"/>
  <c r="O20" i="1"/>
  <c r="N20" i="1"/>
  <c r="M20" i="1"/>
  <c r="L20" i="1"/>
  <c r="K20" i="1"/>
  <c r="J20" i="1"/>
  <c r="I20" i="1"/>
  <c r="H20" i="1"/>
  <c r="G20" i="1"/>
  <c r="F20" i="1"/>
  <c r="E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F28" i="5" l="1"/>
  <c r="H28" i="5"/>
  <c r="E28" i="5"/>
  <c r="S44" i="1"/>
  <c r="R43" i="1"/>
  <c r="R45" i="1"/>
  <c r="K61" i="1"/>
  <c r="E61" i="1"/>
  <c r="I34" i="1"/>
  <c r="I62" i="1" s="1"/>
  <c r="M61" i="1"/>
  <c r="D8" i="3"/>
  <c r="D21" i="3" s="1"/>
  <c r="M14" i="1" s="1"/>
  <c r="D16" i="1" s="1"/>
  <c r="J34" i="1"/>
  <c r="J62" i="1" s="1"/>
  <c r="M62" i="1"/>
  <c r="P34" i="1"/>
  <c r="P33" i="1" s="1"/>
  <c r="N62" i="1"/>
  <c r="O62" i="1"/>
  <c r="L61" i="1"/>
  <c r="F61" i="1"/>
  <c r="N61" i="1"/>
  <c r="G61" i="1"/>
  <c r="O61" i="1"/>
  <c r="H61" i="1"/>
  <c r="R54" i="1"/>
  <c r="S54" i="1" s="1"/>
  <c r="T54" i="1" s="1"/>
  <c r="P47" i="1"/>
  <c r="Q41" i="1"/>
  <c r="R41" i="1" s="1"/>
  <c r="S37" i="1"/>
  <c r="R27" i="1"/>
  <c r="S27" i="1" s="1"/>
  <c r="T27" i="1" s="1"/>
  <c r="S24" i="1"/>
  <c r="T24" i="1"/>
  <c r="Q34" i="1" l="1"/>
  <c r="P61" i="1"/>
  <c r="S42" i="1"/>
  <c r="S41" i="1" s="1"/>
  <c r="S45" i="1"/>
  <c r="S43" i="1"/>
  <c r="P62" i="1"/>
  <c r="P53" i="1"/>
  <c r="P56" i="1" s="1"/>
  <c r="Q47" i="1"/>
  <c r="R47" i="1"/>
  <c r="T37" i="1"/>
  <c r="Q33" i="1" l="1"/>
  <c r="Q61" i="1" s="1"/>
  <c r="R34" i="1"/>
  <c r="Q62" i="1"/>
  <c r="P67" i="1"/>
  <c r="P68" i="1" s="1"/>
  <c r="R53" i="1"/>
  <c r="R56" i="1" s="1"/>
  <c r="Q53" i="1"/>
  <c r="Q56" i="1" s="1"/>
  <c r="T41" i="1"/>
  <c r="T47" i="1" s="1"/>
  <c r="S47" i="1"/>
  <c r="S34" i="1" l="1"/>
  <c r="S33" i="1" s="1"/>
  <c r="R33" i="1"/>
  <c r="Q67" i="1"/>
  <c r="Q68" i="1" s="1"/>
  <c r="R62" i="1"/>
  <c r="S62" i="1"/>
  <c r="T34" i="1"/>
  <c r="T33" i="1" s="1"/>
  <c r="S53" i="1"/>
  <c r="S56" i="1" s="1"/>
  <c r="M11" i="1"/>
  <c r="T53" i="1"/>
  <c r="T56" i="1" s="1"/>
  <c r="T62" i="1" l="1"/>
  <c r="R29" i="1" l="1"/>
  <c r="R39" i="1" s="1"/>
  <c r="Q29" i="1"/>
  <c r="Q39" i="1" s="1"/>
  <c r="P29" i="1"/>
  <c r="P39" i="1" s="1"/>
  <c r="O29" i="1"/>
  <c r="O39" i="1" s="1"/>
  <c r="N29" i="1"/>
  <c r="N39" i="1" s="1"/>
  <c r="M29" i="1"/>
  <c r="M39" i="1" s="1"/>
  <c r="L29" i="1"/>
  <c r="L39" i="1" s="1"/>
  <c r="K29" i="1"/>
  <c r="K39" i="1" s="1"/>
  <c r="J29" i="1"/>
  <c r="J39" i="1" s="1"/>
  <c r="I29" i="1"/>
  <c r="I39" i="1" s="1"/>
  <c r="H29" i="1"/>
  <c r="H39" i="1" s="1"/>
  <c r="G29" i="1"/>
  <c r="G39" i="1" s="1"/>
  <c r="F29" i="1"/>
  <c r="F39" i="1" s="1"/>
  <c r="E29" i="1"/>
  <c r="E39" i="1" s="1"/>
  <c r="S19" i="1"/>
  <c r="T19" i="1" s="1"/>
  <c r="T29" i="1" s="1"/>
  <c r="T39" i="1" s="1"/>
  <c r="S29" i="1" l="1"/>
  <c r="S39" i="1" s="1"/>
  <c r="T23" i="1" l="1"/>
  <c r="T30" i="1" l="1"/>
  <c r="T58" i="1" s="1"/>
  <c r="T26" i="1"/>
  <c r="T36" i="1"/>
  <c r="T64" i="1" s="1"/>
  <c r="T61" i="1"/>
  <c r="T67" i="1" l="1"/>
  <c r="U70" i="1" s="1"/>
  <c r="T68" i="1" l="1"/>
  <c r="T70" i="1"/>
  <c r="T71" i="1" s="1"/>
  <c r="R30" i="1"/>
  <c r="R58" i="1" s="1"/>
  <c r="R61" i="1"/>
  <c r="R23" i="1"/>
  <c r="R26" i="1"/>
  <c r="R36" i="1"/>
  <c r="R64" i="1" s="1"/>
  <c r="R21" i="1"/>
  <c r="R67" i="1" l="1"/>
  <c r="R68" i="1" s="1"/>
  <c r="S30" i="1"/>
  <c r="S58" i="1" s="1"/>
  <c r="S36" i="1"/>
  <c r="S64" i="1" s="1"/>
  <c r="S61" i="1"/>
  <c r="S26" i="1"/>
  <c r="T21" i="1"/>
  <c r="S21" i="1"/>
  <c r="S23" i="1"/>
  <c r="S67" i="1" l="1"/>
  <c r="S68" i="1" s="1"/>
  <c r="T72" i="1" s="1"/>
  <c r="T75" i="1" s="1"/>
  <c r="T78" i="1" s="1"/>
  <c r="F4" i="1" s="1"/>
  <c r="H5" i="1" s="1"/>
</calcChain>
</file>

<file path=xl/sharedStrings.xml><?xml version="1.0" encoding="utf-8"?>
<sst xmlns="http://schemas.openxmlformats.org/spreadsheetml/2006/main" count="177" uniqueCount="141">
  <si>
    <t>Google DCF</t>
  </si>
  <si>
    <t>Assumptions</t>
  </si>
  <si>
    <t>Income Statements</t>
  </si>
  <si>
    <t>Cashflow Statements</t>
  </si>
  <si>
    <t>DCF</t>
  </si>
  <si>
    <t>WACC</t>
  </si>
  <si>
    <t>x</t>
  </si>
  <si>
    <t>WACC =  (% Equity x Cost of Equity) + (% Debt x Cost of Debt x (1 -Tax rate))</t>
  </si>
  <si>
    <t>Cost of Equity = Risk Free Rate + (Beta x (Expected Market Return - Risk Free Rate))</t>
  </si>
  <si>
    <t>Debt</t>
  </si>
  <si>
    <t>% Debt</t>
  </si>
  <si>
    <t>Cost of Debt</t>
  </si>
  <si>
    <t>Tax Rate</t>
  </si>
  <si>
    <t>Equity Value</t>
  </si>
  <si>
    <t>% Equity</t>
  </si>
  <si>
    <t>Cost of Equity</t>
  </si>
  <si>
    <t>Risk Free Rate</t>
  </si>
  <si>
    <t>Beta</t>
  </si>
  <si>
    <t>Market Risk Premium</t>
  </si>
  <si>
    <t>Debt + Equity</t>
  </si>
  <si>
    <t>Revenue</t>
  </si>
  <si>
    <t xml:space="preserve">%growth </t>
  </si>
  <si>
    <t>EBIT</t>
  </si>
  <si>
    <t>%of sale</t>
  </si>
  <si>
    <t>Taxes</t>
  </si>
  <si>
    <t>%of sales</t>
  </si>
  <si>
    <t>D&amp;A</t>
  </si>
  <si>
    <t>Capex</t>
  </si>
  <si>
    <t>Change in WC</t>
  </si>
  <si>
    <t>% growth</t>
  </si>
  <si>
    <t>Conservative Case</t>
  </si>
  <si>
    <t>Street Case</t>
  </si>
  <si>
    <t>Optimistic Case</t>
  </si>
  <si>
    <t>% of sales</t>
  </si>
  <si>
    <t>% of EBIT</t>
  </si>
  <si>
    <t>EBIAT</t>
  </si>
  <si>
    <t>CapEx</t>
  </si>
  <si>
    <t>Change in NWC</t>
  </si>
  <si>
    <t>Unlevered FCF</t>
  </si>
  <si>
    <t>Present Value of FCF</t>
  </si>
  <si>
    <t>Teminal Value</t>
  </si>
  <si>
    <t xml:space="preserve">Present Terminal Value </t>
  </si>
  <si>
    <t>Annual Data</t>
  </si>
  <si>
    <t>Cost Of Goods Sold</t>
  </si>
  <si>
    <t>Gross Profit</t>
  </si>
  <si>
    <t>Research And Development Expenses</t>
  </si>
  <si>
    <t>SG&amp;A Expenses</t>
  </si>
  <si>
    <t>Operating Income</t>
  </si>
  <si>
    <t>Total Non-Operating Income/Expense</t>
  </si>
  <si>
    <t>Pre-Tax Income</t>
  </si>
  <si>
    <t>Income Taxes</t>
  </si>
  <si>
    <t>Net Income</t>
  </si>
  <si>
    <t>EBITDA</t>
  </si>
  <si>
    <t>Basic Shares Outstanding</t>
  </si>
  <si>
    <t>Shares Outstanding</t>
  </si>
  <si>
    <t>Basic EPS</t>
  </si>
  <si>
    <t xml:space="preserve">Other Operating Income Or Expenses </t>
  </si>
  <si>
    <t>Operating Expenses</t>
  </si>
  <si>
    <t>Income After Taxes</t>
  </si>
  <si>
    <t xml:space="preserve"> Other Income</t>
  </si>
  <si>
    <t xml:space="preserve">Income From Continuous Operations </t>
  </si>
  <si>
    <t>Income From Discontinued Operations</t>
  </si>
  <si>
    <t>Net Income/Loss</t>
  </si>
  <si>
    <t>Total Depreciation And Amortization - Cash Flow</t>
  </si>
  <si>
    <t>Change In Accounts Receivable</t>
  </si>
  <si>
    <t>Change In Inventories</t>
  </si>
  <si>
    <t>Change In Accounts Payable</t>
  </si>
  <si>
    <t>Change In Assets/Liabilities</t>
  </si>
  <si>
    <t>Total Change In Assets/Liabilities</t>
  </si>
  <si>
    <t>Cash Flow From Operating Activities</t>
  </si>
  <si>
    <t>Net Change In Property, Plant, And Equipment</t>
  </si>
  <si>
    <t>Net Change In Intangible Assets</t>
  </si>
  <si>
    <t>Net Acquisitions/Divestitures</t>
  </si>
  <si>
    <t>Net Change In Short-term Investments</t>
  </si>
  <si>
    <t>Net Change In Long-Term Investments</t>
  </si>
  <si>
    <t>Net Change In Investments - Total</t>
  </si>
  <si>
    <t>Investing Activities - Other</t>
  </si>
  <si>
    <t>Cash Flow From Investing Activities</t>
  </si>
  <si>
    <t>Net Long-Term Debt</t>
  </si>
  <si>
    <t>Net Current Debt</t>
  </si>
  <si>
    <t>Debt Issuance/Retirement Net - Total</t>
  </si>
  <si>
    <t>Net Common Equity Issued/Repurchased</t>
  </si>
  <si>
    <t>Financial Activities - Other</t>
  </si>
  <si>
    <t>Cash Flow From Financial Activities</t>
  </si>
  <si>
    <t>Net Cash Flow</t>
  </si>
  <si>
    <t>Stock-Based Compensation</t>
  </si>
  <si>
    <t>Other Non-Cash Items</t>
  </si>
  <si>
    <t>Total Non-Cash Items</t>
  </si>
  <si>
    <t>Net Total Equity Issued/Repurchased</t>
  </si>
  <si>
    <t>Total Common And Preferred Stock Dividends Paid</t>
  </si>
  <si>
    <t>Cash On Hand</t>
  </si>
  <si>
    <t>Receivables</t>
  </si>
  <si>
    <t>Inventory</t>
  </si>
  <si>
    <t>Total Current Assets</t>
  </si>
  <si>
    <t>Property, Plant, And Equipment</t>
  </si>
  <si>
    <t>Long-Term Investments</t>
  </si>
  <si>
    <t>Goodwill And Intangible Assets</t>
  </si>
  <si>
    <t>Other Long-Term Assets</t>
  </si>
  <si>
    <t>Total Long-Term Assets</t>
  </si>
  <si>
    <t>Total Assets</t>
  </si>
  <si>
    <t>Total Current Liabilities</t>
  </si>
  <si>
    <t>Long Term Debt</t>
  </si>
  <si>
    <t>Other Non-Current Liabilities</t>
  </si>
  <si>
    <t>Total Long Term Liabilities</t>
  </si>
  <si>
    <t>Total Liabilities</t>
  </si>
  <si>
    <t>Common Stock Net</t>
  </si>
  <si>
    <t>Retained Earnings (Accumulated Deficit)</t>
  </si>
  <si>
    <t>Comprehensive Income</t>
  </si>
  <si>
    <t>Total Liabilities And Share Holders Equity</t>
  </si>
  <si>
    <t>Other Current Assets</t>
  </si>
  <si>
    <t>Pre-Paid Expenses</t>
  </si>
  <si>
    <t xml:space="preserve">Other Share Holders Equity </t>
  </si>
  <si>
    <t>Share Holder Equity</t>
  </si>
  <si>
    <t>Switches</t>
  </si>
  <si>
    <t>Conservative</t>
  </si>
  <si>
    <t>Street / Base</t>
  </si>
  <si>
    <t>Optimistic</t>
  </si>
  <si>
    <t>Revenue Growth</t>
  </si>
  <si>
    <t>Revenue '24-'25</t>
  </si>
  <si>
    <t>EBIT Margin</t>
  </si>
  <si>
    <t>Revenue 2028</t>
  </si>
  <si>
    <t>EBIT '24-'25</t>
  </si>
  <si>
    <t>TGR</t>
  </si>
  <si>
    <t>Valuation Assumptions</t>
  </si>
  <si>
    <t>Ticker</t>
  </si>
  <si>
    <t>Implied Shares</t>
  </si>
  <si>
    <t>Date</t>
  </si>
  <si>
    <t>Actual</t>
  </si>
  <si>
    <t>--'</t>
  </si>
  <si>
    <t>--</t>
  </si>
  <si>
    <t xml:space="preserve">%sales </t>
  </si>
  <si>
    <t>AAPL</t>
  </si>
  <si>
    <t>Enterprise Value</t>
  </si>
  <si>
    <t>(+)Cash</t>
  </si>
  <si>
    <t>(-)Debt</t>
  </si>
  <si>
    <t>Implied Share Price</t>
  </si>
  <si>
    <t>Working capital</t>
  </si>
  <si>
    <t>working capital</t>
  </si>
  <si>
    <t>net change in wc</t>
  </si>
  <si>
    <t>overvalued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</si>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</sst>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Aptos Display"/>
      <family val="2"/>
      <scheme val="major"/>
    </font>
    <font>
      <u/>
      <sz val="11"/>
      <color theme="1"/>
      <name val="Aptos Display"/>
      <family val="2"/>
      <scheme val="major"/>
    </font>
    <font>
      <sz val="11"/>
      <color theme="9" tint="0.3999755851924192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5" fillId="0" borderId="1" xfId="0" applyFont="1" applyBorder="1"/>
    <xf numFmtId="0" fontId="4" fillId="2" borderId="0" xfId="0" applyFont="1" applyFill="1"/>
    <xf numFmtId="0" fontId="0" fillId="0" borderId="1" xfId="0" applyBorder="1"/>
    <xf numFmtId="0" fontId="6" fillId="0" borderId="1" xfId="0" applyFont="1" applyBorder="1"/>
    <xf numFmtId="0" fontId="2" fillId="3" borderId="0" xfId="0" applyFont="1" applyFill="1"/>
    <xf numFmtId="0" fontId="0" fillId="3" borderId="0" xfId="0" applyFill="1"/>
    <xf numFmtId="3" fontId="0" fillId="0" borderId="0" xfId="0" applyNumberFormat="1"/>
    <xf numFmtId="164" fontId="0" fillId="4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3" fillId="5" borderId="3" xfId="0" applyFont="1" applyFill="1" applyBorder="1"/>
    <xf numFmtId="0" fontId="0" fillId="5" borderId="4" xfId="0" applyFill="1" applyBorder="1"/>
    <xf numFmtId="10" fontId="3" fillId="5" borderId="5" xfId="0" applyNumberFormat="1" applyFont="1" applyFill="1" applyBorder="1"/>
    <xf numFmtId="0" fontId="7" fillId="0" borderId="0" xfId="0" applyFont="1"/>
    <xf numFmtId="10" fontId="0" fillId="0" borderId="0" xfId="0" applyNumberFormat="1"/>
    <xf numFmtId="10" fontId="7" fillId="0" borderId="0" xfId="0" applyNumberFormat="1" applyFont="1"/>
    <xf numFmtId="0" fontId="8" fillId="0" borderId="1" xfId="0" applyFont="1" applyBorder="1"/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0" fontId="0" fillId="6" borderId="0" xfId="0" applyFill="1"/>
    <xf numFmtId="14" fontId="0" fillId="6" borderId="0" xfId="0" applyNumberFormat="1" applyFill="1"/>
    <xf numFmtId="0" fontId="5" fillId="0" borderId="9" xfId="0" applyFont="1" applyBorder="1"/>
    <xf numFmtId="0" fontId="4" fillId="2" borderId="8" xfId="0" applyFont="1" applyFill="1" applyBorder="1"/>
    <xf numFmtId="0" fontId="0" fillId="0" borderId="8" xfId="0" applyBorder="1"/>
    <xf numFmtId="10" fontId="0" fillId="0" borderId="8" xfId="0" applyNumberFormat="1" applyBorder="1"/>
    <xf numFmtId="0" fontId="11" fillId="0" borderId="0" xfId="0" applyFont="1"/>
    <xf numFmtId="0" fontId="12" fillId="0" borderId="0" xfId="0" applyFont="1"/>
    <xf numFmtId="164" fontId="11" fillId="4" borderId="10" xfId="0" applyNumberFormat="1" applyFont="1" applyFill="1" applyBorder="1" applyAlignment="1">
      <alignment horizontal="center"/>
    </xf>
    <xf numFmtId="165" fontId="11" fillId="4" borderId="10" xfId="2" applyNumberFormat="1" applyFont="1" applyFill="1" applyBorder="1" applyAlignment="1">
      <alignment horizontal="center"/>
    </xf>
    <xf numFmtId="10" fontId="11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7" borderId="0" xfId="0" applyFont="1" applyFill="1" applyAlignment="1">
      <alignment horizontal="center" wrapText="1"/>
    </xf>
    <xf numFmtId="10" fontId="11" fillId="7" borderId="0" xfId="0" applyNumberFormat="1" applyFont="1" applyFill="1" applyAlignment="1">
      <alignment wrapText="1"/>
    </xf>
    <xf numFmtId="0" fontId="0" fillId="8" borderId="10" xfId="0" applyFill="1" applyBorder="1"/>
    <xf numFmtId="14" fontId="0" fillId="8" borderId="10" xfId="0" applyNumberFormat="1" applyFill="1" applyBorder="1"/>
    <xf numFmtId="8" fontId="0" fillId="8" borderId="10" xfId="0" applyNumberFormat="1" applyFill="1" applyBorder="1"/>
    <xf numFmtId="6" fontId="13" fillId="0" borderId="0" xfId="0" applyNumberFormat="1" applyFont="1"/>
    <xf numFmtId="0" fontId="11" fillId="0" borderId="8" xfId="0" applyFont="1" applyBorder="1"/>
    <xf numFmtId="0" fontId="12" fillId="0" borderId="8" xfId="0" applyFont="1" applyBorder="1"/>
    <xf numFmtId="0" fontId="11" fillId="0" borderId="8" xfId="0" applyFont="1" applyBorder="1" applyAlignment="1">
      <alignment wrapText="1"/>
    </xf>
    <xf numFmtId="6" fontId="13" fillId="0" borderId="8" xfId="0" applyNumberFormat="1" applyFont="1" applyBorder="1"/>
    <xf numFmtId="44" fontId="0" fillId="0" borderId="0" xfId="0" applyNumberFormat="1"/>
    <xf numFmtId="166" fontId="0" fillId="0" borderId="0" xfId="0" applyNumberFormat="1"/>
    <xf numFmtId="9" fontId="0" fillId="0" borderId="0" xfId="0" applyNumberFormat="1"/>
    <xf numFmtId="9" fontId="7" fillId="0" borderId="0" xfId="0" applyNumberFormat="1" applyFont="1"/>
    <xf numFmtId="9" fontId="0" fillId="0" borderId="0" xfId="0" quotePrefix="1" applyNumberFormat="1"/>
    <xf numFmtId="9" fontId="0" fillId="0" borderId="8" xfId="0" applyNumberFormat="1" applyBorder="1"/>
    <xf numFmtId="6" fontId="14" fillId="0" borderId="0" xfId="0" applyNumberFormat="1" applyFont="1"/>
    <xf numFmtId="6" fontId="14" fillId="0" borderId="8" xfId="0" applyNumberFormat="1" applyFont="1" applyBorder="1"/>
    <xf numFmtId="166" fontId="14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10" fillId="7" borderId="11" xfId="0" applyNumberFormat="1" applyFont="1" applyFill="1" applyBorder="1" applyAlignment="1">
      <alignment horizontal="center" wrapText="1"/>
    </xf>
    <xf numFmtId="9" fontId="10" fillId="7" borderId="12" xfId="0" applyNumberFormat="1" applyFont="1" applyFill="1" applyBorder="1" applyAlignment="1">
      <alignment horizontal="center" wrapText="1"/>
    </xf>
    <xf numFmtId="9" fontId="14" fillId="7" borderId="10" xfId="0" applyNumberFormat="1" applyFont="1" applyFill="1" applyBorder="1" applyAlignment="1">
      <alignment horizontal="center" wrapText="1"/>
    </xf>
    <xf numFmtId="9" fontId="10" fillId="7" borderId="10" xfId="0" applyNumberFormat="1" applyFont="1" applyFill="1" applyBorder="1" applyAlignment="1">
      <alignment horizontal="center" wrapText="1"/>
    </xf>
    <xf numFmtId="9" fontId="10" fillId="7" borderId="13" xfId="0" applyNumberFormat="1" applyFont="1" applyFill="1" applyBorder="1" applyAlignment="1">
      <alignment horizontal="center" wrapText="1"/>
    </xf>
    <xf numFmtId="9" fontId="10" fillId="7" borderId="14" xfId="0" applyNumberFormat="1" applyFont="1" applyFill="1" applyBorder="1" applyAlignment="1">
      <alignment horizontal="center" wrapText="1"/>
    </xf>
    <xf numFmtId="9" fontId="10" fillId="7" borderId="15" xfId="0" applyNumberFormat="1" applyFont="1" applyFill="1" applyBorder="1" applyAlignment="1">
      <alignment horizontal="center" wrapText="1"/>
    </xf>
    <xf numFmtId="10" fontId="11" fillId="4" borderId="10" xfId="2" applyNumberFormat="1" applyFont="1" applyFill="1" applyBorder="1" applyAlignment="1">
      <alignment horizontal="center"/>
    </xf>
    <xf numFmtId="166" fontId="14" fillId="0" borderId="8" xfId="0" applyNumberFormat="1" applyFont="1" applyBorder="1"/>
    <xf numFmtId="166" fontId="0" fillId="0" borderId="4" xfId="0" applyNumberFormat="1" applyBorder="1"/>
    <xf numFmtId="0" fontId="0" fillId="0" borderId="9" xfId="0" applyBorder="1"/>
    <xf numFmtId="0" fontId="3" fillId="0" borderId="3" xfId="0" applyFont="1" applyBorder="1"/>
    <xf numFmtId="0" fontId="3" fillId="0" borderId="4" xfId="0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6" fontId="3" fillId="0" borderId="5" xfId="0" applyNumberFormat="1" applyFont="1" applyBorder="1"/>
    <xf numFmtId="0" fontId="3" fillId="0" borderId="6" xfId="0" applyFont="1" applyBorder="1"/>
    <xf numFmtId="0" fontId="3" fillId="0" borderId="16" xfId="0" applyFont="1" applyBorder="1"/>
    <xf numFmtId="0" fontId="3" fillId="0" borderId="17" xfId="0" applyFont="1" applyBorder="1"/>
    <xf numFmtId="166" fontId="3" fillId="0" borderId="16" xfId="0" applyNumberFormat="1" applyFont="1" applyBorder="1"/>
    <xf numFmtId="1" fontId="3" fillId="0" borderId="7" xfId="1" applyNumberFormat="1" applyFont="1" applyBorder="1"/>
    <xf numFmtId="0" fontId="3" fillId="0" borderId="1" xfId="0" applyFont="1" applyBorder="1"/>
    <xf numFmtId="0" fontId="3" fillId="0" borderId="9" xfId="0" applyFont="1" applyBorder="1"/>
    <xf numFmtId="166" fontId="3" fillId="0" borderId="17" xfId="0" applyNumberFormat="1" applyFont="1" applyBorder="1"/>
    <xf numFmtId="166" fontId="0" fillId="4" borderId="2" xfId="0" applyNumberFormat="1" applyFill="1" applyBorder="1" applyAlignment="1">
      <alignment horizontal="right"/>
    </xf>
    <xf numFmtId="0" fontId="15" fillId="0" borderId="0" xfId="0" applyFont="1" applyAlignment="1">
      <alignment wrapText="1"/>
    </xf>
    <xf numFmtId="166" fontId="3" fillId="0" borderId="1" xfId="0" applyNumberFormat="1" applyFont="1" applyBorder="1"/>
    <xf numFmtId="166" fontId="0" fillId="0" borderId="1" xfId="0" applyNumberFormat="1" applyBorder="1"/>
    <xf numFmtId="166" fontId="0" fillId="8" borderId="10" xfId="0" applyNumberFormat="1" applyFill="1" applyBorder="1"/>
    <xf numFmtId="0" fontId="0" fillId="0" borderId="0" xfId="0" quotePrefix="1"/>
    <xf numFmtId="10" fontId="0" fillId="8" borderId="10" xfId="0" applyNumberForma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A956-9505-40E8-BAA7-2EA66977F2A4}">
  <dimension ref="A2:U78"/>
  <sheetViews>
    <sheetView showGridLines="0" tabSelected="1" zoomScale="78" zoomScaleNormal="100" workbookViewId="0">
      <selection activeCell="P76" activeCellId="1" sqref="R72 P76"/>
    </sheetView>
  </sheetViews>
  <sheetFormatPr defaultRowHeight="14.75" x14ac:dyDescent="0.75"/>
  <cols>
    <col min="1" max="1" width="5.453125" bestFit="1" customWidth="1"/>
    <col min="2" max="2" width="22.90625" customWidth="1"/>
    <col min="3" max="3" width="12.6796875" customWidth="1"/>
    <col min="4" max="14" width="10.6796875" customWidth="1"/>
    <col min="15" max="15" width="14.26953125" style="25" bestFit="1" customWidth="1"/>
    <col min="16" max="19" width="12.04296875" bestFit="1" customWidth="1"/>
    <col min="20" max="20" width="13.86328125" bestFit="1" customWidth="1"/>
    <col min="21" max="21" width="14.04296875" bestFit="1" customWidth="1"/>
  </cols>
  <sheetData>
    <row r="2" spans="1:17" s="2" customFormat="1" ht="16" x14ac:dyDescent="0.8">
      <c r="B2" s="17" t="s">
        <v>0</v>
      </c>
      <c r="O2" s="23"/>
    </row>
    <row r="4" spans="1:17" x14ac:dyDescent="0.75">
      <c r="A4" t="s">
        <v>124</v>
      </c>
      <c r="B4" s="35" t="s">
        <v>131</v>
      </c>
      <c r="D4" t="s">
        <v>125</v>
      </c>
      <c r="F4" s="82">
        <f ca="1">T78</f>
        <v>120.22651286082899</v>
      </c>
    </row>
    <row r="5" spans="1:17" x14ac:dyDescent="0.75">
      <c r="A5" t="s">
        <v>126</v>
      </c>
      <c r="B5" s="36">
        <v>45427</v>
      </c>
      <c r="D5" t="s">
        <v>127</v>
      </c>
      <c r="F5" s="37">
        <v>187.43</v>
      </c>
      <c r="H5" s="84">
        <f ca="1">(F5-F4)/F5</f>
        <v>0.35855245765977173</v>
      </c>
      <c r="I5" s="1" t="s">
        <v>139</v>
      </c>
    </row>
    <row r="6" spans="1:17" s="3" customFormat="1" x14ac:dyDescent="0.75">
      <c r="B6" s="3" t="s">
        <v>1</v>
      </c>
      <c r="O6" s="24"/>
    </row>
    <row r="7" spans="1:17" x14ac:dyDescent="0.75">
      <c r="O7" s="39"/>
    </row>
    <row r="8" spans="1:17" x14ac:dyDescent="0.75">
      <c r="B8" s="32" t="s">
        <v>113</v>
      </c>
      <c r="C8" s="32"/>
      <c r="D8" s="32"/>
      <c r="E8" s="32"/>
      <c r="F8" s="27"/>
      <c r="G8" s="28" t="s">
        <v>114</v>
      </c>
      <c r="H8" s="27"/>
      <c r="I8" s="27"/>
      <c r="J8" s="27"/>
      <c r="K8" s="28" t="s">
        <v>115</v>
      </c>
      <c r="L8" s="27"/>
      <c r="M8" s="27"/>
      <c r="N8" s="27"/>
      <c r="O8" s="40" t="s">
        <v>116</v>
      </c>
      <c r="P8" s="27" t="s">
        <v>140</v>
      </c>
      <c r="Q8" s="27"/>
    </row>
    <row r="9" spans="1:17" x14ac:dyDescent="0.75">
      <c r="B9" s="32" t="s">
        <v>117</v>
      </c>
      <c r="C9" s="32"/>
      <c r="D9" s="33">
        <v>1</v>
      </c>
      <c r="E9" s="32"/>
      <c r="F9" s="27"/>
      <c r="G9" s="27" t="s">
        <v>118</v>
      </c>
      <c r="H9" s="27"/>
      <c r="I9" s="29">
        <v>0.6</v>
      </c>
      <c r="J9" s="27"/>
      <c r="K9" s="27"/>
      <c r="L9" s="27"/>
      <c r="M9" s="27"/>
      <c r="N9" s="27"/>
      <c r="O9" s="39" t="s">
        <v>118</v>
      </c>
      <c r="P9" s="27"/>
      <c r="Q9" s="29">
        <v>0.8</v>
      </c>
    </row>
    <row r="10" spans="1:17" x14ac:dyDescent="0.75">
      <c r="B10" s="32" t="s">
        <v>119</v>
      </c>
      <c r="C10" s="32"/>
      <c r="D10" s="33">
        <v>1</v>
      </c>
      <c r="E10" s="32"/>
      <c r="F10" s="27"/>
      <c r="G10" s="27" t="s">
        <v>120</v>
      </c>
      <c r="H10" s="27"/>
      <c r="I10" s="29">
        <v>0.08</v>
      </c>
      <c r="J10" s="27"/>
      <c r="K10" s="27" t="s">
        <v>120</v>
      </c>
      <c r="L10" s="27"/>
      <c r="M10" s="61">
        <v>0.11</v>
      </c>
      <c r="N10" s="27"/>
      <c r="O10" s="39" t="s">
        <v>120</v>
      </c>
      <c r="P10" s="27"/>
      <c r="Q10" s="29">
        <v>0.15</v>
      </c>
    </row>
    <row r="11" spans="1:17" x14ac:dyDescent="0.75">
      <c r="B11" s="32"/>
      <c r="C11" s="32"/>
      <c r="D11" s="32"/>
      <c r="E11" s="32"/>
      <c r="F11" s="27"/>
      <c r="G11" s="27" t="s">
        <v>121</v>
      </c>
      <c r="H11" s="27"/>
      <c r="I11" s="29">
        <v>0.95</v>
      </c>
      <c r="J11" s="27"/>
      <c r="K11" s="27" t="s">
        <v>22</v>
      </c>
      <c r="L11" s="27"/>
      <c r="M11" s="30">
        <f ca="1">T47</f>
        <v>172873.88835571342</v>
      </c>
      <c r="N11" s="27"/>
      <c r="O11" s="39" t="s">
        <v>121</v>
      </c>
      <c r="P11" s="27"/>
      <c r="Q11" s="29">
        <v>1.1000000000000001</v>
      </c>
    </row>
    <row r="12" spans="1:17" x14ac:dyDescent="0.75">
      <c r="B12" s="32" t="s">
        <v>5</v>
      </c>
      <c r="C12" s="32"/>
      <c r="D12" s="33">
        <v>2</v>
      </c>
      <c r="E12" s="32"/>
      <c r="F12" s="27"/>
      <c r="G12" s="27"/>
      <c r="H12" s="27"/>
      <c r="I12" s="27"/>
      <c r="J12" s="27"/>
      <c r="K12" s="27"/>
      <c r="L12" s="27"/>
      <c r="M12" s="27"/>
      <c r="N12" s="27"/>
      <c r="O12" s="39"/>
      <c r="P12" s="27"/>
      <c r="Q12" s="27"/>
    </row>
    <row r="13" spans="1:17" x14ac:dyDescent="0.75">
      <c r="B13" s="32" t="s">
        <v>122</v>
      </c>
      <c r="C13" s="32"/>
      <c r="D13" s="33">
        <v>3</v>
      </c>
      <c r="E13" s="32"/>
      <c r="F13" s="27"/>
      <c r="G13" s="27"/>
      <c r="H13" s="27"/>
      <c r="I13" s="27"/>
      <c r="J13" s="27"/>
      <c r="K13" s="27" t="s">
        <v>24</v>
      </c>
      <c r="L13" s="27"/>
      <c r="M13" s="29">
        <v>0.04</v>
      </c>
      <c r="N13" s="27"/>
      <c r="O13" s="39"/>
      <c r="P13" s="27"/>
      <c r="Q13" s="27"/>
    </row>
    <row r="14" spans="1:17" x14ac:dyDescent="0.75">
      <c r="B14" s="32"/>
      <c r="C14" s="32"/>
      <c r="D14" s="32"/>
      <c r="E14" s="32"/>
      <c r="F14" s="27"/>
      <c r="G14" s="27" t="s">
        <v>5</v>
      </c>
      <c r="H14" s="27"/>
      <c r="I14" s="31">
        <v>0.11</v>
      </c>
      <c r="J14" s="27"/>
      <c r="K14" s="27" t="s">
        <v>5</v>
      </c>
      <c r="L14" s="27"/>
      <c r="M14" s="29">
        <f>WACC!D21</f>
        <v>0.10193889706311531</v>
      </c>
      <c r="N14" s="27"/>
      <c r="O14" s="39" t="s">
        <v>5</v>
      </c>
      <c r="P14" s="27"/>
      <c r="Q14" s="29">
        <v>9.5000000000000001E-2</v>
      </c>
    </row>
    <row r="15" spans="1:17" x14ac:dyDescent="0.75">
      <c r="B15" s="79" t="s">
        <v>123</v>
      </c>
      <c r="C15" s="32"/>
      <c r="D15" s="32"/>
      <c r="E15" s="32"/>
      <c r="F15" s="27"/>
      <c r="G15" s="27" t="s">
        <v>122</v>
      </c>
      <c r="H15" s="27"/>
      <c r="I15" s="29">
        <v>0.02</v>
      </c>
      <c r="J15" s="27"/>
      <c r="K15" s="27" t="s">
        <v>122</v>
      </c>
      <c r="L15" s="27"/>
      <c r="M15" s="29">
        <v>2.5000000000000001E-2</v>
      </c>
      <c r="N15" s="27"/>
      <c r="O15" s="39" t="s">
        <v>122</v>
      </c>
      <c r="P15" s="27"/>
      <c r="Q15" s="31">
        <v>0.03</v>
      </c>
    </row>
    <row r="16" spans="1:17" x14ac:dyDescent="0.75">
      <c r="B16" s="32" t="s">
        <v>5</v>
      </c>
      <c r="C16" s="32"/>
      <c r="D16" s="34">
        <f>CHOOSE(D12,I14,M14,Q14)</f>
        <v>0.10193889706311531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41"/>
      <c r="P16" s="27"/>
      <c r="Q16" s="27"/>
    </row>
    <row r="17" spans="2:20" x14ac:dyDescent="0.75">
      <c r="B17" s="32" t="s">
        <v>122</v>
      </c>
      <c r="C17" s="32"/>
      <c r="D17" s="34">
        <f>CHOOSE(D13,I15,M15,Q15)</f>
        <v>0.03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41"/>
      <c r="P17" s="27"/>
      <c r="Q17" s="27"/>
    </row>
    <row r="19" spans="2:20" s="3" customFormat="1" x14ac:dyDescent="0.75">
      <c r="B19" s="3" t="s">
        <v>2</v>
      </c>
      <c r="E19" s="3">
        <v>2013</v>
      </c>
      <c r="F19" s="3">
        <f>E19+1</f>
        <v>2014</v>
      </c>
      <c r="G19" s="3">
        <f t="shared" ref="G19:T19" si="0">F19+1</f>
        <v>2015</v>
      </c>
      <c r="H19" s="3">
        <f t="shared" si="0"/>
        <v>2016</v>
      </c>
      <c r="I19" s="3">
        <f t="shared" si="0"/>
        <v>2017</v>
      </c>
      <c r="J19" s="3">
        <f t="shared" si="0"/>
        <v>2018</v>
      </c>
      <c r="K19" s="3">
        <f t="shared" si="0"/>
        <v>2019</v>
      </c>
      <c r="L19" s="3">
        <f t="shared" si="0"/>
        <v>2020</v>
      </c>
      <c r="M19" s="3">
        <f t="shared" si="0"/>
        <v>2021</v>
      </c>
      <c r="N19" s="3">
        <f t="shared" si="0"/>
        <v>2022</v>
      </c>
      <c r="O19" s="24">
        <f t="shared" si="0"/>
        <v>2023</v>
      </c>
      <c r="P19" s="3">
        <f t="shared" si="0"/>
        <v>2024</v>
      </c>
      <c r="Q19" s="3">
        <f t="shared" si="0"/>
        <v>2025</v>
      </c>
      <c r="R19" s="3">
        <f>Q19+1</f>
        <v>2026</v>
      </c>
      <c r="S19" s="3">
        <f t="shared" si="0"/>
        <v>2027</v>
      </c>
      <c r="T19" s="3">
        <f t="shared" si="0"/>
        <v>2028</v>
      </c>
    </row>
    <row r="20" spans="2:20" x14ac:dyDescent="0.75">
      <c r="B20" t="s">
        <v>20</v>
      </c>
      <c r="E20" s="38">
        <f>IS!B2</f>
        <v>170910</v>
      </c>
      <c r="F20" s="38">
        <f>IS!C2</f>
        <v>182795</v>
      </c>
      <c r="G20" s="38">
        <f>IS!D2</f>
        <v>233715</v>
      </c>
      <c r="H20" s="38">
        <f>IS!E2</f>
        <v>215639</v>
      </c>
      <c r="I20" s="38">
        <f>IS!F2</f>
        <v>229234</v>
      </c>
      <c r="J20" s="38">
        <f>IS!G2</f>
        <v>265595</v>
      </c>
      <c r="K20" s="38">
        <f>IS!H2</f>
        <v>260174</v>
      </c>
      <c r="L20" s="38">
        <f>IS!I2</f>
        <v>274515</v>
      </c>
      <c r="M20" s="38">
        <f>IS!J2</f>
        <v>365817</v>
      </c>
      <c r="N20" s="38">
        <f>IS!K2</f>
        <v>394328</v>
      </c>
      <c r="O20" s="42">
        <f>IS!L2</f>
        <v>383285</v>
      </c>
      <c r="P20" s="52">
        <v>386620</v>
      </c>
      <c r="Q20" s="52">
        <v>411380</v>
      </c>
      <c r="R20" s="53">
        <v>452208</v>
      </c>
      <c r="S20" s="53">
        <v>489097</v>
      </c>
      <c r="T20" s="53">
        <v>498879</v>
      </c>
    </row>
    <row r="21" spans="2:20" s="45" customFormat="1" x14ac:dyDescent="0.75">
      <c r="B21" s="46" t="s">
        <v>21</v>
      </c>
      <c r="E21" s="47" t="s">
        <v>129</v>
      </c>
      <c r="F21" s="45">
        <f>(F20-E20)/E20</f>
        <v>6.9539523725937621E-2</v>
      </c>
      <c r="G21" s="45">
        <f t="shared" ref="G21:P21" si="1">(G20-F20)/F20</f>
        <v>0.2785634180365984</v>
      </c>
      <c r="H21" s="45">
        <f t="shared" si="1"/>
        <v>-7.734206191301371E-2</v>
      </c>
      <c r="I21" s="45">
        <f t="shared" si="1"/>
        <v>6.3045181993980681E-2</v>
      </c>
      <c r="J21" s="45">
        <f t="shared" si="1"/>
        <v>0.15861957650261305</v>
      </c>
      <c r="K21" s="45">
        <f t="shared" si="1"/>
        <v>-2.0410775805267418E-2</v>
      </c>
      <c r="L21" s="45">
        <f t="shared" si="1"/>
        <v>5.5120803769784836E-2</v>
      </c>
      <c r="M21" s="45">
        <f t="shared" si="1"/>
        <v>0.33259384733074693</v>
      </c>
      <c r="N21" s="45">
        <f t="shared" si="1"/>
        <v>7.7937876041846058E-2</v>
      </c>
      <c r="O21" s="48">
        <f t="shared" si="1"/>
        <v>-2.8004605303199367E-2</v>
      </c>
      <c r="P21" s="45">
        <f t="shared" si="1"/>
        <v>8.7010970948510902E-3</v>
      </c>
      <c r="Q21" s="45">
        <f t="shared" ref="Q21" si="2">(Q20-P20)/P20</f>
        <v>6.4042211991102369E-2</v>
      </c>
      <c r="R21" s="45">
        <f t="shared" ref="R21" si="3">(R20-Q20)/Q20</f>
        <v>9.9246438815693519E-2</v>
      </c>
      <c r="S21" s="45">
        <f t="shared" ref="S21" si="4">(S20-R20)/R20</f>
        <v>8.157529278562077E-2</v>
      </c>
      <c r="T21" s="45">
        <f t="shared" ref="T21" si="5">(T20-S20)/S20</f>
        <v>2.0000122675052186E-2</v>
      </c>
    </row>
    <row r="22" spans="2:20" x14ac:dyDescent="0.75">
      <c r="B22" s="14"/>
    </row>
    <row r="23" spans="2:20" x14ac:dyDescent="0.75">
      <c r="B23" t="s">
        <v>22</v>
      </c>
      <c r="E23" s="38">
        <f>IS!B9</f>
        <v>48999</v>
      </c>
      <c r="F23" s="38">
        <f>IS!C9</f>
        <v>52503</v>
      </c>
      <c r="G23" s="38">
        <f>IS!D9</f>
        <v>71230</v>
      </c>
      <c r="H23" s="38">
        <f>IS!E9</f>
        <v>60024</v>
      </c>
      <c r="I23" s="38">
        <f>IS!F9</f>
        <v>61344</v>
      </c>
      <c r="J23" s="38">
        <f>IS!G9</f>
        <v>70898</v>
      </c>
      <c r="K23" s="38">
        <f>IS!H9</f>
        <v>63930</v>
      </c>
      <c r="L23" s="38">
        <f>IS!I9</f>
        <v>66288</v>
      </c>
      <c r="M23" s="38">
        <f>IS!J9</f>
        <v>108949</v>
      </c>
      <c r="N23" s="38">
        <f>IS!K9</f>
        <v>119437</v>
      </c>
      <c r="O23" s="42">
        <f>IS!L9</f>
        <v>114301</v>
      </c>
      <c r="P23" s="52">
        <f>P24*P20</f>
        <v>110225.21560877442</v>
      </c>
      <c r="Q23" s="52">
        <f t="shared" ref="Q23:T23" si="6">Q24*Q20</f>
        <v>121771.04734415592</v>
      </c>
      <c r="R23" s="53">
        <f t="shared" si="6"/>
        <v>133650.91423744182</v>
      </c>
      <c r="S23" s="53">
        <f t="shared" si="6"/>
        <v>143656.57332773414</v>
      </c>
      <c r="T23" s="53">
        <f t="shared" si="6"/>
        <v>145968.96219829991</v>
      </c>
    </row>
    <row r="24" spans="2:20" s="45" customFormat="1" x14ac:dyDescent="0.75">
      <c r="B24" s="46" t="s">
        <v>23</v>
      </c>
      <c r="E24" s="45">
        <f>E23/E20</f>
        <v>0.28669475162366159</v>
      </c>
      <c r="F24" s="45">
        <f t="shared" ref="F24:O24" si="7">F23/F20</f>
        <v>0.28722339232473537</v>
      </c>
      <c r="G24" s="45">
        <f t="shared" si="7"/>
        <v>0.30477290717326661</v>
      </c>
      <c r="H24" s="45">
        <f t="shared" si="7"/>
        <v>0.27835410106706115</v>
      </c>
      <c r="I24" s="45">
        <f t="shared" si="7"/>
        <v>0.26760428208729942</v>
      </c>
      <c r="J24" s="45">
        <f t="shared" si="7"/>
        <v>0.26694026619477024</v>
      </c>
      <c r="K24" s="45">
        <f t="shared" si="7"/>
        <v>0.24572017188496928</v>
      </c>
      <c r="L24" s="45">
        <f t="shared" si="7"/>
        <v>0.24147314354406862</v>
      </c>
      <c r="M24" s="45">
        <f t="shared" si="7"/>
        <v>0.29782377527561593</v>
      </c>
      <c r="N24" s="45">
        <f t="shared" si="7"/>
        <v>0.30288744395528594</v>
      </c>
      <c r="O24" s="48">
        <f t="shared" si="7"/>
        <v>0.29821412265024722</v>
      </c>
      <c r="P24" s="45">
        <f>AVERAGE(L24:O24)</f>
        <v>0.28509962135630446</v>
      </c>
      <c r="Q24" s="45">
        <f t="shared" ref="Q24:T24" si="8">AVERAGE(M24:P24)</f>
        <v>0.29600624080936339</v>
      </c>
      <c r="R24" s="45">
        <f t="shared" si="8"/>
        <v>0.29555185719280025</v>
      </c>
      <c r="S24" s="45">
        <f t="shared" si="8"/>
        <v>0.2937179605021788</v>
      </c>
      <c r="T24" s="45">
        <f t="shared" si="8"/>
        <v>0.29259391996516171</v>
      </c>
    </row>
    <row r="25" spans="2:20" x14ac:dyDescent="0.75">
      <c r="B25" s="14"/>
    </row>
    <row r="26" spans="2:20" x14ac:dyDescent="0.75">
      <c r="B26" t="s">
        <v>24</v>
      </c>
      <c r="E26" s="38">
        <f>IS!B11-IS!B13</f>
        <v>13118</v>
      </c>
      <c r="F26" s="38">
        <f>IS!C11-IS!C13</f>
        <v>13973</v>
      </c>
      <c r="G26" s="38">
        <f>IS!D11-IS!D13</f>
        <v>19121</v>
      </c>
      <c r="H26" s="38">
        <f>IS!E11-IS!E13</f>
        <v>15685</v>
      </c>
      <c r="I26" s="38">
        <f>IS!F11-IS!F13</f>
        <v>15738</v>
      </c>
      <c r="J26" s="38">
        <f>IS!G11-IS!G13</f>
        <v>13372</v>
      </c>
      <c r="K26" s="38">
        <f>IS!H11-IS!H13</f>
        <v>10481</v>
      </c>
      <c r="L26" s="38">
        <f>IS!I11-IS!I13</f>
        <v>9680</v>
      </c>
      <c r="M26" s="38">
        <f>IS!J11-IS!J13</f>
        <v>14527</v>
      </c>
      <c r="N26" s="38">
        <f>IS!K11-IS!K13</f>
        <v>19300</v>
      </c>
      <c r="O26" s="42">
        <f>IS!L11-IS!L13</f>
        <v>16741</v>
      </c>
      <c r="P26" s="52">
        <f>P27*P20</f>
        <v>16198.89563921413</v>
      </c>
      <c r="Q26" s="52">
        <f t="shared" ref="Q26:T26" si="9">Q27*Q20</f>
        <v>17918.846037065377</v>
      </c>
      <c r="R26" s="53">
        <f t="shared" si="9"/>
        <v>20132.113939861632</v>
      </c>
      <c r="S26" s="53">
        <f t="shared" si="9"/>
        <v>21233.402179187797</v>
      </c>
      <c r="T26" s="53">
        <f t="shared" si="9"/>
        <v>21625.12156723817</v>
      </c>
    </row>
    <row r="27" spans="2:20" s="45" customFormat="1" x14ac:dyDescent="0.75">
      <c r="B27" s="46" t="s">
        <v>25</v>
      </c>
      <c r="E27" s="45">
        <f>E26/E20</f>
        <v>7.6753847054005037E-2</v>
      </c>
      <c r="F27" s="45">
        <f t="shared" ref="F27:O27" si="10">F26/F20</f>
        <v>7.6440821685494681E-2</v>
      </c>
      <c r="G27" s="45">
        <f t="shared" si="10"/>
        <v>8.1813319641443644E-2</v>
      </c>
      <c r="H27" s="45">
        <f t="shared" si="10"/>
        <v>7.2737306331415008E-2</v>
      </c>
      <c r="I27" s="45">
        <f t="shared" si="10"/>
        <v>6.8654737080886777E-2</v>
      </c>
      <c r="J27" s="45">
        <f t="shared" si="10"/>
        <v>5.0347333345883767E-2</v>
      </c>
      <c r="K27" s="45">
        <f t="shared" si="10"/>
        <v>4.0284578781892115E-2</v>
      </c>
      <c r="L27" s="45">
        <f t="shared" si="10"/>
        <v>3.5262189679981057E-2</v>
      </c>
      <c r="M27" s="45">
        <f t="shared" si="10"/>
        <v>3.9711112386794492E-2</v>
      </c>
      <c r="N27" s="45">
        <f t="shared" si="10"/>
        <v>4.8944026292832364E-2</v>
      </c>
      <c r="O27" s="48">
        <f t="shared" si="10"/>
        <v>4.3677681098921166E-2</v>
      </c>
      <c r="P27" s="45">
        <f>AVERAGE(L27:O27)</f>
        <v>4.1898752364632273E-2</v>
      </c>
      <c r="Q27" s="45">
        <f t="shared" ref="Q27:T27" si="11">AVERAGE(M27:P27)</f>
        <v>4.3557893035795076E-2</v>
      </c>
      <c r="R27" s="45">
        <f t="shared" si="11"/>
        <v>4.4519588198045218E-2</v>
      </c>
      <c r="S27" s="45">
        <f t="shared" si="11"/>
        <v>4.3413478674348437E-2</v>
      </c>
      <c r="T27" s="45">
        <f t="shared" si="11"/>
        <v>4.3347428068205254E-2</v>
      </c>
    </row>
    <row r="28" spans="2:20" x14ac:dyDescent="0.75">
      <c r="B28" s="14"/>
    </row>
    <row r="29" spans="2:20" s="3" customFormat="1" x14ac:dyDescent="0.75">
      <c r="B29" s="3" t="s">
        <v>3</v>
      </c>
      <c r="E29" s="3">
        <f>E19</f>
        <v>2013</v>
      </c>
      <c r="F29" s="3">
        <f t="shared" ref="F29:T29" si="12">F19</f>
        <v>2014</v>
      </c>
      <c r="G29" s="3">
        <f t="shared" si="12"/>
        <v>2015</v>
      </c>
      <c r="H29" s="3">
        <f t="shared" si="12"/>
        <v>2016</v>
      </c>
      <c r="I29" s="3">
        <f t="shared" si="12"/>
        <v>2017</v>
      </c>
      <c r="J29" s="3">
        <f t="shared" si="12"/>
        <v>2018</v>
      </c>
      <c r="K29" s="3">
        <f t="shared" si="12"/>
        <v>2019</v>
      </c>
      <c r="L29" s="3">
        <f t="shared" si="12"/>
        <v>2020</v>
      </c>
      <c r="M29" s="3">
        <f t="shared" si="12"/>
        <v>2021</v>
      </c>
      <c r="N29" s="3">
        <f t="shared" si="12"/>
        <v>2022</v>
      </c>
      <c r="O29" s="24">
        <f t="shared" si="12"/>
        <v>2023</v>
      </c>
      <c r="P29" s="3">
        <f t="shared" si="12"/>
        <v>2024</v>
      </c>
      <c r="Q29" s="3">
        <f t="shared" si="12"/>
        <v>2025</v>
      </c>
      <c r="R29" s="3">
        <f t="shared" si="12"/>
        <v>2026</v>
      </c>
      <c r="S29" s="3">
        <f t="shared" si="12"/>
        <v>2027</v>
      </c>
      <c r="T29" s="3">
        <f t="shared" si="12"/>
        <v>2028</v>
      </c>
    </row>
    <row r="30" spans="2:20" x14ac:dyDescent="0.75">
      <c r="B30" s="14" t="s">
        <v>26</v>
      </c>
      <c r="E30" s="38">
        <f>CASHFLOW!B3</f>
        <v>6757</v>
      </c>
      <c r="F30" s="38">
        <f>CASHFLOW!C3</f>
        <v>7946</v>
      </c>
      <c r="G30" s="38">
        <f>CASHFLOW!D3</f>
        <v>11257</v>
      </c>
      <c r="H30" s="38">
        <f>CASHFLOW!E3</f>
        <v>10505</v>
      </c>
      <c r="I30" s="38">
        <f>CASHFLOW!F3</f>
        <v>10157</v>
      </c>
      <c r="J30" s="38">
        <f>CASHFLOW!G3</f>
        <v>10903</v>
      </c>
      <c r="K30" s="38">
        <f>CASHFLOW!H3</f>
        <v>12547</v>
      </c>
      <c r="L30" s="38">
        <f>CASHFLOW!I3</f>
        <v>11056</v>
      </c>
      <c r="M30" s="38">
        <f>CASHFLOW!J3</f>
        <v>11284</v>
      </c>
      <c r="N30" s="38">
        <f>CASHFLOW!K3</f>
        <v>11104</v>
      </c>
      <c r="O30" s="42">
        <f>CASHFLOW!L3</f>
        <v>11519</v>
      </c>
      <c r="P30" s="52">
        <f>P31*P20</f>
        <v>11477.288633764962</v>
      </c>
      <c r="Q30" s="52">
        <f t="shared" ref="Q30:T30" si="13">Q31*Q20</f>
        <v>12053.28031527755</v>
      </c>
      <c r="R30" s="53">
        <f t="shared" si="13"/>
        <v>13421.413877524972</v>
      </c>
      <c r="S30" s="53">
        <f t="shared" si="13"/>
        <v>14455.357674906627</v>
      </c>
      <c r="T30" s="53">
        <f t="shared" si="13"/>
        <v>14722.677248890837</v>
      </c>
    </row>
    <row r="31" spans="2:20" s="15" customFormat="1" x14ac:dyDescent="0.75">
      <c r="B31" s="16" t="s">
        <v>130</v>
      </c>
      <c r="E31" s="15">
        <f>E30/E20</f>
        <v>3.9535428003042536E-2</v>
      </c>
      <c r="F31" s="15">
        <f t="shared" ref="F31:O31" si="14">F30/F20</f>
        <v>4.3469460324407121E-2</v>
      </c>
      <c r="G31" s="15">
        <f t="shared" si="14"/>
        <v>4.816550071668485E-2</v>
      </c>
      <c r="H31" s="15">
        <f t="shared" si="14"/>
        <v>4.8715677590788306E-2</v>
      </c>
      <c r="I31" s="15">
        <f t="shared" si="14"/>
        <v>4.4308435921372923E-2</v>
      </c>
      <c r="J31" s="15">
        <f t="shared" si="14"/>
        <v>4.1051224608897006E-2</v>
      </c>
      <c r="K31" s="15">
        <f t="shared" si="14"/>
        <v>4.8225418373857493E-2</v>
      </c>
      <c r="L31" s="15">
        <f t="shared" si="14"/>
        <v>4.0274666229532081E-2</v>
      </c>
      <c r="M31" s="15">
        <f t="shared" si="14"/>
        <v>3.084602410494865E-2</v>
      </c>
      <c r="N31" s="15">
        <f t="shared" si="14"/>
        <v>2.8159298857803657E-2</v>
      </c>
      <c r="O31" s="26">
        <f t="shared" si="14"/>
        <v>3.0053354553400212E-2</v>
      </c>
      <c r="P31" s="15">
        <f>AVERAGE(M31:O31)</f>
        <v>2.9686225838717505E-2</v>
      </c>
      <c r="Q31" s="15">
        <f t="shared" ref="Q31:T31" si="15">AVERAGE(N31:P31)</f>
        <v>2.9299626416640457E-2</v>
      </c>
      <c r="R31" s="15">
        <f t="shared" si="15"/>
        <v>2.967973560291939E-2</v>
      </c>
      <c r="S31" s="15">
        <f t="shared" si="15"/>
        <v>2.9555195952759118E-2</v>
      </c>
      <c r="T31" s="15">
        <f t="shared" si="15"/>
        <v>2.9511519324106322E-2</v>
      </c>
    </row>
    <row r="32" spans="2:20" x14ac:dyDescent="0.75">
      <c r="B32" s="14"/>
    </row>
    <row r="33" spans="2:20" x14ac:dyDescent="0.75">
      <c r="B33" t="s">
        <v>27</v>
      </c>
      <c r="E33" s="38">
        <f>-CASHFLOW!B12</f>
        <v>8165</v>
      </c>
      <c r="F33" s="38">
        <f>-CASHFLOW!C12</f>
        <v>9571</v>
      </c>
      <c r="G33" s="38">
        <f>-CASHFLOW!D12</f>
        <v>11247</v>
      </c>
      <c r="H33" s="38">
        <f>-CASHFLOW!E12</f>
        <v>12734</v>
      </c>
      <c r="I33" s="38">
        <f>-CASHFLOW!F12</f>
        <v>12451</v>
      </c>
      <c r="J33" s="38">
        <f>-CASHFLOW!G12</f>
        <v>13313</v>
      </c>
      <c r="K33" s="38">
        <f>-CASHFLOW!H12</f>
        <v>10495</v>
      </c>
      <c r="L33" s="38">
        <f>-CASHFLOW!I12</f>
        <v>7309</v>
      </c>
      <c r="M33" s="38">
        <f>-CASHFLOW!J12</f>
        <v>11085</v>
      </c>
      <c r="N33" s="38">
        <f>-CASHFLOW!K12</f>
        <v>10708</v>
      </c>
      <c r="O33" s="38">
        <f>-CASHFLOW!L12</f>
        <v>10959</v>
      </c>
      <c r="P33" s="38">
        <f>P34*P20</f>
        <v>11089.472463583501</v>
      </c>
      <c r="Q33" s="38">
        <f t="shared" ref="Q33:T33" si="16">Q34*Q20</f>
        <v>11577.671853855019</v>
      </c>
      <c r="R33" s="38">
        <f t="shared" si="16"/>
        <v>12875.707807016996</v>
      </c>
      <c r="S33" s="38">
        <f t="shared" si="16"/>
        <v>13906.593745294856</v>
      </c>
      <c r="T33" s="38">
        <f t="shared" si="16"/>
        <v>14143.165711595082</v>
      </c>
    </row>
    <row r="34" spans="2:20" s="45" customFormat="1" x14ac:dyDescent="0.75">
      <c r="B34" s="46" t="s">
        <v>23</v>
      </c>
      <c r="E34" s="45">
        <f>E33/E20</f>
        <v>4.7773682054882687E-2</v>
      </c>
      <c r="F34" s="45">
        <f t="shared" ref="F34:O34" si="17">F33/F20</f>
        <v>5.235920019694193E-2</v>
      </c>
      <c r="G34" s="45">
        <f t="shared" si="17"/>
        <v>4.812271356138887E-2</v>
      </c>
      <c r="H34" s="45">
        <f t="shared" si="17"/>
        <v>5.9052397757362998E-2</v>
      </c>
      <c r="I34" s="45">
        <f t="shared" si="17"/>
        <v>5.4315677430049641E-2</v>
      </c>
      <c r="J34" s="45">
        <f t="shared" si="17"/>
        <v>5.0125190609762983E-2</v>
      </c>
      <c r="K34" s="45">
        <f t="shared" si="17"/>
        <v>4.033838892433525E-2</v>
      </c>
      <c r="L34" s="45">
        <f t="shared" si="17"/>
        <v>2.6625138881299748E-2</v>
      </c>
      <c r="M34" s="45">
        <f t="shared" si="17"/>
        <v>3.0302036264033657E-2</v>
      </c>
      <c r="N34" s="45">
        <f t="shared" si="17"/>
        <v>2.7155058732831552E-2</v>
      </c>
      <c r="O34" s="48">
        <f t="shared" si="17"/>
        <v>2.859230076835775E-2</v>
      </c>
      <c r="P34" s="45">
        <f>AVERAGE(M34:O34)</f>
        <v>2.8683131921740986E-2</v>
      </c>
      <c r="Q34" s="45">
        <f t="shared" ref="Q34:T34" si="18">AVERAGE(N34:P34)</f>
        <v>2.8143497140976761E-2</v>
      </c>
      <c r="R34" s="45">
        <f t="shared" si="18"/>
        <v>2.8472976610358497E-2</v>
      </c>
      <c r="S34" s="45">
        <f t="shared" si="18"/>
        <v>2.8433201891025415E-2</v>
      </c>
      <c r="T34" s="45">
        <f t="shared" si="18"/>
        <v>2.834989188078689E-2</v>
      </c>
    </row>
    <row r="35" spans="2:20" x14ac:dyDescent="0.75">
      <c r="B35" s="14"/>
    </row>
    <row r="36" spans="2:20" x14ac:dyDescent="0.75">
      <c r="B36" t="s">
        <v>28</v>
      </c>
      <c r="E36" s="38">
        <f>CASHFLOW!B9</f>
        <v>7283</v>
      </c>
      <c r="F36" s="38">
        <f>CASHFLOW!C9</f>
        <v>5417</v>
      </c>
      <c r="G36" s="38">
        <f>CASHFLOW!D9</f>
        <v>6082</v>
      </c>
      <c r="H36" s="38">
        <f>CASHFLOW!E9</f>
        <v>-2456</v>
      </c>
      <c r="I36" s="38">
        <f>CASHFLOW!F9</f>
        <v>-9073</v>
      </c>
      <c r="J36" s="38">
        <f>CASHFLOW!G9</f>
        <v>30013</v>
      </c>
      <c r="K36" s="38">
        <f>CASHFLOW!H9</f>
        <v>-1521</v>
      </c>
      <c r="L36" s="38">
        <f>CASHFLOW!I9</f>
        <v>2962</v>
      </c>
      <c r="M36" s="38">
        <f>CASHFLOW!J9</f>
        <v>4470</v>
      </c>
      <c r="N36" s="38">
        <f>CASHFLOW!K9</f>
        <v>-7909</v>
      </c>
      <c r="O36" s="42">
        <f>CASHFLOW!L9</f>
        <v>-1382</v>
      </c>
      <c r="P36" s="42">
        <f>P37*P20</f>
        <v>-63.155921027871585</v>
      </c>
      <c r="Q36" s="52">
        <f t="shared" ref="Q36:T36" si="19">Q37*Q20</f>
        <v>4113.8</v>
      </c>
      <c r="R36" s="53">
        <f t="shared" si="19"/>
        <v>4612.5216</v>
      </c>
      <c r="S36" s="53">
        <f t="shared" si="19"/>
        <v>2009.0850210087783</v>
      </c>
      <c r="T36" s="53">
        <f t="shared" si="19"/>
        <v>3011.2822227229231</v>
      </c>
    </row>
    <row r="37" spans="2:20" s="15" customFormat="1" x14ac:dyDescent="0.75">
      <c r="B37" s="16" t="s">
        <v>25</v>
      </c>
      <c r="E37" s="15">
        <f>E36/E20</f>
        <v>4.2613071207068046E-2</v>
      </c>
      <c r="F37" s="15">
        <f t="shared" ref="F37:O37" si="20">F36/F20</f>
        <v>2.96342897781668E-2</v>
      </c>
      <c r="G37" s="15">
        <f t="shared" si="20"/>
        <v>2.6023147851015126E-2</v>
      </c>
      <c r="H37" s="15">
        <f t="shared" si="20"/>
        <v>-1.1389405441501769E-2</v>
      </c>
      <c r="I37" s="15">
        <f t="shared" si="20"/>
        <v>-3.9579643508380086E-2</v>
      </c>
      <c r="J37" s="15">
        <f t="shared" si="20"/>
        <v>0.11300288032530732</v>
      </c>
      <c r="K37" s="15">
        <f t="shared" si="20"/>
        <v>-5.8460876182862241E-3</v>
      </c>
      <c r="L37" s="15">
        <f t="shared" si="20"/>
        <v>1.0789938619018996E-2</v>
      </c>
      <c r="M37" s="15">
        <f t="shared" si="20"/>
        <v>1.2219224366281501E-2</v>
      </c>
      <c r="N37" s="15">
        <f t="shared" si="20"/>
        <v>-2.0056906940415085E-2</v>
      </c>
      <c r="O37" s="26">
        <f t="shared" si="20"/>
        <v>-3.6056720195155041E-3</v>
      </c>
      <c r="P37" s="15">
        <f>AVERAGE(L37:O37)</f>
        <v>-1.633539936575231E-4</v>
      </c>
      <c r="Q37" s="15">
        <v>0.01</v>
      </c>
      <c r="R37" s="15">
        <v>1.0200000000000001E-2</v>
      </c>
      <c r="S37" s="15">
        <f t="shared" ref="S37:T37" si="21">AVERAGE(O37:R37)</f>
        <v>4.1077434967067439E-3</v>
      </c>
      <c r="T37" s="15">
        <f t="shared" si="21"/>
        <v>6.0360973757623056E-3</v>
      </c>
    </row>
    <row r="38" spans="2:20" x14ac:dyDescent="0.75">
      <c r="B38" s="14"/>
      <c r="P38">
        <v>1</v>
      </c>
      <c r="Q38">
        <f>P38+1</f>
        <v>2</v>
      </c>
      <c r="R38">
        <f t="shared" ref="R38:T38" si="22">Q38+1</f>
        <v>3</v>
      </c>
      <c r="S38">
        <f t="shared" si="22"/>
        <v>4</v>
      </c>
      <c r="T38">
        <f t="shared" si="22"/>
        <v>5</v>
      </c>
    </row>
    <row r="39" spans="2:20" s="3" customFormat="1" x14ac:dyDescent="0.75">
      <c r="B39" s="3" t="s">
        <v>4</v>
      </c>
      <c r="E39" s="3">
        <f>E29</f>
        <v>2013</v>
      </c>
      <c r="F39" s="3">
        <f t="shared" ref="F39:T39" si="23">F29</f>
        <v>2014</v>
      </c>
      <c r="G39" s="3">
        <f t="shared" si="23"/>
        <v>2015</v>
      </c>
      <c r="H39" s="3">
        <f t="shared" si="23"/>
        <v>2016</v>
      </c>
      <c r="I39" s="3">
        <f t="shared" si="23"/>
        <v>2017</v>
      </c>
      <c r="J39" s="3">
        <f t="shared" si="23"/>
        <v>2018</v>
      </c>
      <c r="K39" s="3">
        <f t="shared" si="23"/>
        <v>2019</v>
      </c>
      <c r="L39" s="3">
        <f t="shared" si="23"/>
        <v>2020</v>
      </c>
      <c r="M39" s="3">
        <f t="shared" si="23"/>
        <v>2021</v>
      </c>
      <c r="N39" s="3">
        <f t="shared" si="23"/>
        <v>2022</v>
      </c>
      <c r="O39" s="24">
        <f t="shared" si="23"/>
        <v>2023</v>
      </c>
      <c r="P39" s="3">
        <f t="shared" si="23"/>
        <v>2024</v>
      </c>
      <c r="Q39" s="3">
        <f t="shared" si="23"/>
        <v>2025</v>
      </c>
      <c r="R39" s="3">
        <f t="shared" si="23"/>
        <v>2026</v>
      </c>
      <c r="S39" s="3">
        <f t="shared" si="23"/>
        <v>2027</v>
      </c>
      <c r="T39" s="3">
        <f t="shared" si="23"/>
        <v>2028</v>
      </c>
    </row>
    <row r="41" spans="2:20" x14ac:dyDescent="0.75">
      <c r="B41" t="s">
        <v>20</v>
      </c>
      <c r="E41" s="49">
        <f>E20</f>
        <v>170910</v>
      </c>
      <c r="F41" s="49">
        <f t="shared" ref="F41:O41" si="24">F20</f>
        <v>182795</v>
      </c>
      <c r="G41" s="49">
        <f t="shared" si="24"/>
        <v>233715</v>
      </c>
      <c r="H41" s="49">
        <f t="shared" si="24"/>
        <v>215639</v>
      </c>
      <c r="I41" s="49">
        <f t="shared" si="24"/>
        <v>229234</v>
      </c>
      <c r="J41" s="49">
        <f t="shared" si="24"/>
        <v>265595</v>
      </c>
      <c r="K41" s="49">
        <f t="shared" si="24"/>
        <v>260174</v>
      </c>
      <c r="L41" s="49">
        <f t="shared" si="24"/>
        <v>274515</v>
      </c>
      <c r="M41" s="49">
        <f t="shared" si="24"/>
        <v>365817</v>
      </c>
      <c r="N41" s="49">
        <f t="shared" si="24"/>
        <v>394328</v>
      </c>
      <c r="O41" s="50">
        <f t="shared" si="24"/>
        <v>383285</v>
      </c>
      <c r="P41" s="44">
        <f ca="1">O41*(1+P42)</f>
        <v>387117.85</v>
      </c>
      <c r="Q41" s="44">
        <f t="shared" ref="Q41:T41" ca="1" si="25">P41*(1+Q42)</f>
        <v>411909.73341523972</v>
      </c>
      <c r="R41" s="44">
        <f t="shared" ca="1" si="25"/>
        <v>444599.49728618335</v>
      </c>
      <c r="S41" s="44">
        <f t="shared" ca="1" si="25"/>
        <v>486694.5055059499</v>
      </c>
      <c r="T41" s="44">
        <f t="shared" ca="1" si="25"/>
        <v>540230.90111160441</v>
      </c>
    </row>
    <row r="42" spans="2:20" s="45" customFormat="1" x14ac:dyDescent="0.75">
      <c r="B42" s="46" t="s">
        <v>29</v>
      </c>
      <c r="E42" s="45" t="str">
        <f>E21</f>
        <v>--</v>
      </c>
      <c r="F42" s="45">
        <f t="shared" ref="F42:O42" si="26">F21</f>
        <v>6.9539523725937621E-2</v>
      </c>
      <c r="G42" s="45">
        <f t="shared" si="26"/>
        <v>0.2785634180365984</v>
      </c>
      <c r="H42" s="45">
        <f t="shared" si="26"/>
        <v>-7.734206191301371E-2</v>
      </c>
      <c r="I42" s="45">
        <f t="shared" si="26"/>
        <v>6.3045181993980681E-2</v>
      </c>
      <c r="J42" s="45">
        <f t="shared" si="26"/>
        <v>0.15861957650261305</v>
      </c>
      <c r="K42" s="45">
        <f t="shared" si="26"/>
        <v>-2.0410775805267418E-2</v>
      </c>
      <c r="L42" s="45">
        <f t="shared" si="26"/>
        <v>5.5120803769784836E-2</v>
      </c>
      <c r="M42" s="45">
        <f t="shared" si="26"/>
        <v>0.33259384733074693</v>
      </c>
      <c r="N42" s="45">
        <f t="shared" si="26"/>
        <v>7.7937876041846058E-2</v>
      </c>
      <c r="O42" s="48">
        <f t="shared" si="26"/>
        <v>-2.8004605303199367E-2</v>
      </c>
      <c r="P42" s="45">
        <f ca="1">OFFSET(P43,$D$9,0)</f>
        <v>0.01</v>
      </c>
      <c r="Q42" s="45">
        <f t="shared" ref="Q42:T42" ca="1" si="27">OFFSET(Q43,$D$9,0)</f>
        <v>6.4042211991102369E-2</v>
      </c>
      <c r="R42" s="45">
        <f t="shared" ca="1" si="27"/>
        <v>7.9361474660734913E-2</v>
      </c>
      <c r="S42" s="45">
        <f t="shared" ca="1" si="27"/>
        <v>9.4680737330367457E-2</v>
      </c>
      <c r="T42" s="45">
        <f t="shared" ca="1" si="27"/>
        <v>0.11</v>
      </c>
    </row>
    <row r="43" spans="2:20" s="15" customFormat="1" ht="16" x14ac:dyDescent="0.8">
      <c r="B43" s="15" t="s">
        <v>30</v>
      </c>
      <c r="O43" s="26"/>
      <c r="P43" s="54">
        <f>P44</f>
        <v>0.01</v>
      </c>
      <c r="Q43" s="54">
        <f>Q44</f>
        <v>6.4042211991102369E-2</v>
      </c>
      <c r="R43" s="54">
        <f>R44*$I$9</f>
        <v>4.7616884796440946E-2</v>
      </c>
      <c r="S43" s="54">
        <f t="shared" ref="S43" si="28">S44*$I$9</f>
        <v>5.6808442398220471E-2</v>
      </c>
      <c r="T43" s="55">
        <v>0.08</v>
      </c>
    </row>
    <row r="44" spans="2:20" s="15" customFormat="1" ht="16" x14ac:dyDescent="0.8">
      <c r="B44" s="15" t="s">
        <v>31</v>
      </c>
      <c r="O44" s="26"/>
      <c r="P44" s="56">
        <v>0.01</v>
      </c>
      <c r="Q44" s="56">
        <f>Q21</f>
        <v>6.4042211991102369E-2</v>
      </c>
      <c r="R44" s="56">
        <f>Q44+($T$44-Q44)/($T$39-Q39)</f>
        <v>7.9361474660734913E-2</v>
      </c>
      <c r="S44" s="56">
        <f t="shared" ref="S44" si="29">R44+($T$44-R44)/($T$39-R39)</f>
        <v>9.4680737330367457E-2</v>
      </c>
      <c r="T44" s="58">
        <v>0.11</v>
      </c>
    </row>
    <row r="45" spans="2:20" s="15" customFormat="1" ht="16" x14ac:dyDescent="0.8">
      <c r="B45" s="15" t="s">
        <v>32</v>
      </c>
      <c r="O45" s="26"/>
      <c r="P45" s="59">
        <f>P44</f>
        <v>0.01</v>
      </c>
      <c r="Q45" s="59">
        <f>Q44</f>
        <v>6.4042211991102369E-2</v>
      </c>
      <c r="R45" s="59">
        <f>R44*$Q$9</f>
        <v>6.3489179728587933E-2</v>
      </c>
      <c r="S45" s="59">
        <f t="shared" ref="S45" si="30">S44*$Q$9</f>
        <v>7.5744589864293971E-2</v>
      </c>
      <c r="T45" s="60">
        <v>0.15</v>
      </c>
    </row>
    <row r="47" spans="2:20" x14ac:dyDescent="0.75">
      <c r="B47" t="s">
        <v>22</v>
      </c>
      <c r="E47" s="49">
        <f>E23</f>
        <v>48999</v>
      </c>
      <c r="F47" s="49">
        <f t="shared" ref="F47:O47" si="31">F23</f>
        <v>52503</v>
      </c>
      <c r="G47" s="49">
        <f t="shared" si="31"/>
        <v>71230</v>
      </c>
      <c r="H47" s="49">
        <f t="shared" si="31"/>
        <v>60024</v>
      </c>
      <c r="I47" s="49">
        <f t="shared" si="31"/>
        <v>61344</v>
      </c>
      <c r="J47" s="49">
        <f t="shared" si="31"/>
        <v>70898</v>
      </c>
      <c r="K47" s="49">
        <f t="shared" si="31"/>
        <v>63930</v>
      </c>
      <c r="L47" s="49">
        <f t="shared" si="31"/>
        <v>66288</v>
      </c>
      <c r="M47" s="49">
        <f t="shared" si="31"/>
        <v>108949</v>
      </c>
      <c r="N47" s="49">
        <f t="shared" si="31"/>
        <v>119437</v>
      </c>
      <c r="O47" s="50">
        <f t="shared" si="31"/>
        <v>114301</v>
      </c>
      <c r="P47" s="44">
        <f ca="1">P48*P41</f>
        <v>110367.15245526665</v>
      </c>
      <c r="Q47" s="44">
        <f t="shared" ref="Q47:T47" ca="1" si="32">Q48*Q41</f>
        <v>121927.85174103212</v>
      </c>
      <c r="R47" s="44">
        <f t="shared" ca="1" si="32"/>
        <v>133379.84918585501</v>
      </c>
      <c r="S47" s="44">
        <f t="shared" ca="1" si="32"/>
        <v>150875.29670684447</v>
      </c>
      <c r="T47" s="44">
        <f t="shared" ca="1" si="32"/>
        <v>172873.88835571342</v>
      </c>
    </row>
    <row r="48" spans="2:20" s="45" customFormat="1" x14ac:dyDescent="0.75">
      <c r="B48" s="45" t="s">
        <v>33</v>
      </c>
      <c r="E48" s="45">
        <f>E24</f>
        <v>0.28669475162366159</v>
      </c>
      <c r="F48" s="45">
        <f t="shared" ref="F48:O48" si="33">F24</f>
        <v>0.28722339232473537</v>
      </c>
      <c r="G48" s="45">
        <f t="shared" si="33"/>
        <v>0.30477290717326661</v>
      </c>
      <c r="H48" s="45">
        <f t="shared" si="33"/>
        <v>0.27835410106706115</v>
      </c>
      <c r="I48" s="45">
        <f t="shared" si="33"/>
        <v>0.26760428208729942</v>
      </c>
      <c r="J48" s="45">
        <f t="shared" si="33"/>
        <v>0.26694026619477024</v>
      </c>
      <c r="K48" s="45">
        <f t="shared" si="33"/>
        <v>0.24572017188496928</v>
      </c>
      <c r="L48" s="45">
        <f t="shared" si="33"/>
        <v>0.24147314354406862</v>
      </c>
      <c r="M48" s="45">
        <f t="shared" si="33"/>
        <v>0.29782377527561593</v>
      </c>
      <c r="N48" s="45">
        <f t="shared" si="33"/>
        <v>0.30288744395528594</v>
      </c>
      <c r="O48" s="48">
        <f t="shared" si="33"/>
        <v>0.29821412265024722</v>
      </c>
      <c r="P48" s="45">
        <f ca="1">OFFSET(P49,$D$10,0)</f>
        <v>0.28509962135630446</v>
      </c>
      <c r="Q48" s="45">
        <f t="shared" ref="Q48:T48" ca="1" si="34">OFFSET(Q49,$D$10,0)</f>
        <v>0.29600624080936339</v>
      </c>
      <c r="R48" s="45">
        <f t="shared" ca="1" si="34"/>
        <v>0.3</v>
      </c>
      <c r="S48" s="45">
        <f t="shared" ca="1" si="34"/>
        <v>0.31</v>
      </c>
      <c r="T48" s="45">
        <f t="shared" ca="1" si="34"/>
        <v>0.32</v>
      </c>
    </row>
    <row r="49" spans="2:20" s="15" customFormat="1" ht="16" x14ac:dyDescent="0.8">
      <c r="B49" s="15" t="s">
        <v>30</v>
      </c>
      <c r="O49" s="26"/>
      <c r="P49" s="54">
        <f>P50</f>
        <v>0.28509962135630446</v>
      </c>
      <c r="Q49" s="54">
        <f>Q50</f>
        <v>0.29600624080936339</v>
      </c>
      <c r="R49" s="54">
        <f>R50*$I$11</f>
        <v>0.28499999999999998</v>
      </c>
      <c r="S49" s="54">
        <f t="shared" ref="S49" si="35">S50*$I$11</f>
        <v>0.29449999999999998</v>
      </c>
      <c r="T49" s="55">
        <v>0.31</v>
      </c>
    </row>
    <row r="50" spans="2:20" s="15" customFormat="1" ht="16" x14ac:dyDescent="0.8">
      <c r="B50" s="15" t="s">
        <v>31</v>
      </c>
      <c r="O50" s="26"/>
      <c r="P50" s="56">
        <f>P24</f>
        <v>0.28509962135630446</v>
      </c>
      <c r="Q50" s="56">
        <f>Q24</f>
        <v>0.29600624080936339</v>
      </c>
      <c r="R50" s="56">
        <v>0.3</v>
      </c>
      <c r="S50" s="57">
        <v>0.31</v>
      </c>
      <c r="T50" s="58">
        <v>0.32</v>
      </c>
    </row>
    <row r="51" spans="2:20" s="15" customFormat="1" ht="16" x14ac:dyDescent="0.8">
      <c r="B51" s="15" t="s">
        <v>32</v>
      </c>
      <c r="O51" s="26"/>
      <c r="P51" s="59">
        <f>P50</f>
        <v>0.28509962135630446</v>
      </c>
      <c r="Q51" s="59">
        <f>Q50</f>
        <v>0.29600624080936339</v>
      </c>
      <c r="R51" s="59">
        <f>R50*$Q$11</f>
        <v>0.33</v>
      </c>
      <c r="S51" s="59">
        <f t="shared" ref="S51" si="36">S50*$Q$11</f>
        <v>0.34100000000000003</v>
      </c>
      <c r="T51" s="60">
        <v>0.34</v>
      </c>
    </row>
    <row r="53" spans="2:20" s="44" customFormat="1" x14ac:dyDescent="0.75">
      <c r="B53" s="44" t="s">
        <v>24</v>
      </c>
      <c r="E53" s="51">
        <f>E26</f>
        <v>13118</v>
      </c>
      <c r="F53" s="51">
        <f t="shared" ref="F53:O53" si="37">F26</f>
        <v>13973</v>
      </c>
      <c r="G53" s="51">
        <f t="shared" si="37"/>
        <v>19121</v>
      </c>
      <c r="H53" s="51">
        <f t="shared" si="37"/>
        <v>15685</v>
      </c>
      <c r="I53" s="51">
        <f t="shared" si="37"/>
        <v>15738</v>
      </c>
      <c r="J53" s="51">
        <f t="shared" si="37"/>
        <v>13372</v>
      </c>
      <c r="K53" s="51">
        <f t="shared" si="37"/>
        <v>10481</v>
      </c>
      <c r="L53" s="51">
        <f t="shared" si="37"/>
        <v>9680</v>
      </c>
      <c r="M53" s="51">
        <f t="shared" si="37"/>
        <v>14527</v>
      </c>
      <c r="N53" s="51">
        <f t="shared" si="37"/>
        <v>19300</v>
      </c>
      <c r="O53" s="62">
        <f t="shared" si="37"/>
        <v>16741</v>
      </c>
      <c r="P53" s="44">
        <f ca="1">P54*P47</f>
        <v>4624.2459899128344</v>
      </c>
      <c r="Q53" s="44">
        <f t="shared" ref="Q53:T53" ca="1" si="38">Q54*Q47</f>
        <v>5310.9203242201575</v>
      </c>
      <c r="R53" s="44">
        <f t="shared" ca="1" si="38"/>
        <v>5938.0159596716421</v>
      </c>
      <c r="S53" s="44">
        <f t="shared" ca="1" si="38"/>
        <v>6550.0214760685849</v>
      </c>
      <c r="T53" s="44">
        <f t="shared" ca="1" si="38"/>
        <v>7493.6384403702332</v>
      </c>
    </row>
    <row r="54" spans="2:20" s="15" customFormat="1" x14ac:dyDescent="0.75">
      <c r="B54" s="15" t="s">
        <v>34</v>
      </c>
      <c r="D54" s="45"/>
      <c r="E54" s="45">
        <f>E27</f>
        <v>7.6753847054005037E-2</v>
      </c>
      <c r="F54" s="45">
        <f t="shared" ref="F54:O54" si="39">F27</f>
        <v>7.6440821685494681E-2</v>
      </c>
      <c r="G54" s="45">
        <f t="shared" si="39"/>
        <v>8.1813319641443644E-2</v>
      </c>
      <c r="H54" s="45">
        <f t="shared" si="39"/>
        <v>7.2737306331415008E-2</v>
      </c>
      <c r="I54" s="45">
        <f t="shared" si="39"/>
        <v>6.8654737080886777E-2</v>
      </c>
      <c r="J54" s="45">
        <f t="shared" si="39"/>
        <v>5.0347333345883767E-2</v>
      </c>
      <c r="K54" s="45">
        <f t="shared" si="39"/>
        <v>4.0284578781892115E-2</v>
      </c>
      <c r="L54" s="45">
        <f t="shared" si="39"/>
        <v>3.5262189679981057E-2</v>
      </c>
      <c r="M54" s="45">
        <f t="shared" si="39"/>
        <v>3.9711112386794492E-2</v>
      </c>
      <c r="N54" s="45">
        <f t="shared" si="39"/>
        <v>4.8944026292832364E-2</v>
      </c>
      <c r="O54" s="48">
        <f t="shared" si="39"/>
        <v>4.3677681098921166E-2</v>
      </c>
      <c r="P54" s="56">
        <f>AVERAGE(L54:O54)</f>
        <v>4.1898752364632273E-2</v>
      </c>
      <c r="Q54" s="56">
        <f t="shared" ref="Q54:T54" si="40">AVERAGE(M54:P54)</f>
        <v>4.3557893035795076E-2</v>
      </c>
      <c r="R54" s="56">
        <f t="shared" si="40"/>
        <v>4.4519588198045218E-2</v>
      </c>
      <c r="S54" s="56">
        <f t="shared" si="40"/>
        <v>4.3413478674348437E-2</v>
      </c>
      <c r="T54" s="56">
        <f t="shared" si="40"/>
        <v>4.3347428068205254E-2</v>
      </c>
    </row>
    <row r="55" spans="2:20" x14ac:dyDescent="0.75">
      <c r="T55" s="63"/>
    </row>
    <row r="56" spans="2:20" s="1" customFormat="1" x14ac:dyDescent="0.75">
      <c r="B56" s="65" t="s">
        <v>35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9">
        <f>O47-O53</f>
        <v>97560</v>
      </c>
      <c r="P56" s="67">
        <f ca="1">P47-P53</f>
        <v>105742.90646535382</v>
      </c>
      <c r="Q56" s="67">
        <f t="shared" ref="Q56:T56" ca="1" si="41">Q47-Q53</f>
        <v>116616.93141681196</v>
      </c>
      <c r="R56" s="67">
        <f t="shared" ca="1" si="41"/>
        <v>127441.83322618337</v>
      </c>
      <c r="S56" s="67">
        <f t="shared" ca="1" si="41"/>
        <v>144325.27523077588</v>
      </c>
      <c r="T56" s="68">
        <f t="shared" ca="1" si="41"/>
        <v>165380.24991534319</v>
      </c>
    </row>
    <row r="58" spans="2:20" x14ac:dyDescent="0.75">
      <c r="B58" t="s">
        <v>26</v>
      </c>
      <c r="E58" s="51">
        <f>E30</f>
        <v>6757</v>
      </c>
      <c r="F58" s="51">
        <f t="shared" ref="F58:O58" si="42">F30</f>
        <v>7946</v>
      </c>
      <c r="G58" s="51">
        <f t="shared" si="42"/>
        <v>11257</v>
      </c>
      <c r="H58" s="51">
        <f t="shared" si="42"/>
        <v>10505</v>
      </c>
      <c r="I58" s="51">
        <f t="shared" si="42"/>
        <v>10157</v>
      </c>
      <c r="J58" s="51">
        <f t="shared" si="42"/>
        <v>10903</v>
      </c>
      <c r="K58" s="51">
        <f t="shared" si="42"/>
        <v>12547</v>
      </c>
      <c r="L58" s="51">
        <f t="shared" si="42"/>
        <v>11056</v>
      </c>
      <c r="M58" s="51">
        <f t="shared" si="42"/>
        <v>11284</v>
      </c>
      <c r="N58" s="51">
        <f t="shared" si="42"/>
        <v>11104</v>
      </c>
      <c r="O58" s="62">
        <f t="shared" si="42"/>
        <v>11519</v>
      </c>
      <c r="P58" s="8">
        <f>P30</f>
        <v>11477.288633764962</v>
      </c>
      <c r="Q58" s="8">
        <f t="shared" ref="Q58:T58" si="43">Q30</f>
        <v>12053.28031527755</v>
      </c>
      <c r="R58" s="8">
        <f t="shared" si="43"/>
        <v>13421.413877524972</v>
      </c>
      <c r="S58" s="8">
        <f t="shared" si="43"/>
        <v>14455.357674906627</v>
      </c>
      <c r="T58" s="8">
        <f t="shared" si="43"/>
        <v>14722.677248890837</v>
      </c>
    </row>
    <row r="59" spans="2:20" s="15" customFormat="1" x14ac:dyDescent="0.75">
      <c r="B59" s="15" t="s">
        <v>33</v>
      </c>
      <c r="E59" s="15">
        <f>E31</f>
        <v>3.9535428003042536E-2</v>
      </c>
      <c r="F59" s="15">
        <f t="shared" ref="F59:O59" si="44">F31</f>
        <v>4.3469460324407121E-2</v>
      </c>
      <c r="G59" s="15">
        <f t="shared" si="44"/>
        <v>4.816550071668485E-2</v>
      </c>
      <c r="H59" s="15">
        <f t="shared" si="44"/>
        <v>4.8715677590788306E-2</v>
      </c>
      <c r="I59" s="15">
        <f t="shared" si="44"/>
        <v>4.4308435921372923E-2</v>
      </c>
      <c r="J59" s="15">
        <f t="shared" si="44"/>
        <v>4.1051224608897006E-2</v>
      </c>
      <c r="K59" s="15">
        <f t="shared" si="44"/>
        <v>4.8225418373857493E-2</v>
      </c>
      <c r="L59" s="15">
        <f t="shared" si="44"/>
        <v>4.0274666229532081E-2</v>
      </c>
      <c r="M59" s="15">
        <f t="shared" si="44"/>
        <v>3.084602410494865E-2</v>
      </c>
      <c r="N59" s="15">
        <f t="shared" si="44"/>
        <v>2.8159298857803657E-2</v>
      </c>
      <c r="O59" s="26">
        <f t="shared" si="44"/>
        <v>3.0053354553400212E-2</v>
      </c>
      <c r="P59" s="15">
        <f>P31</f>
        <v>2.9686225838717505E-2</v>
      </c>
      <c r="Q59" s="15">
        <f t="shared" ref="Q59:T59" si="45">Q31</f>
        <v>2.9299626416640457E-2</v>
      </c>
      <c r="R59" s="15">
        <f t="shared" si="45"/>
        <v>2.967973560291939E-2</v>
      </c>
      <c r="S59" s="15">
        <f t="shared" si="45"/>
        <v>2.9555195952759118E-2</v>
      </c>
      <c r="T59" s="15">
        <f t="shared" si="45"/>
        <v>2.9511519324106322E-2</v>
      </c>
    </row>
    <row r="61" spans="2:20" x14ac:dyDescent="0.75">
      <c r="B61" t="s">
        <v>36</v>
      </c>
      <c r="E61" s="51">
        <f>E33</f>
        <v>8165</v>
      </c>
      <c r="F61" s="51">
        <f t="shared" ref="F61:O61" si="46">F33</f>
        <v>9571</v>
      </c>
      <c r="G61" s="51">
        <f t="shared" si="46"/>
        <v>11247</v>
      </c>
      <c r="H61" s="51">
        <f t="shared" si="46"/>
        <v>12734</v>
      </c>
      <c r="I61" s="51">
        <f t="shared" si="46"/>
        <v>12451</v>
      </c>
      <c r="J61" s="51">
        <f t="shared" si="46"/>
        <v>13313</v>
      </c>
      <c r="K61" s="51">
        <f t="shared" si="46"/>
        <v>10495</v>
      </c>
      <c r="L61" s="51">
        <f t="shared" si="46"/>
        <v>7309</v>
      </c>
      <c r="M61" s="51">
        <f t="shared" si="46"/>
        <v>11085</v>
      </c>
      <c r="N61" s="51">
        <f t="shared" si="46"/>
        <v>10708</v>
      </c>
      <c r="O61" s="62">
        <f t="shared" si="46"/>
        <v>10959</v>
      </c>
      <c r="P61" s="8">
        <f>P33</f>
        <v>11089.472463583501</v>
      </c>
      <c r="Q61" s="8">
        <f t="shared" ref="Q61:T61" si="47">Q33</f>
        <v>11577.671853855019</v>
      </c>
      <c r="R61" s="8">
        <f t="shared" si="47"/>
        <v>12875.707807016996</v>
      </c>
      <c r="S61" s="8">
        <f t="shared" si="47"/>
        <v>13906.593745294856</v>
      </c>
      <c r="T61" s="8">
        <f t="shared" si="47"/>
        <v>14143.165711595082</v>
      </c>
    </row>
    <row r="62" spans="2:20" s="15" customFormat="1" x14ac:dyDescent="0.75">
      <c r="B62" s="15" t="s">
        <v>33</v>
      </c>
      <c r="E62" s="15">
        <f>E34</f>
        <v>4.7773682054882687E-2</v>
      </c>
      <c r="F62" s="15">
        <f t="shared" ref="F62:O62" si="48">F34</f>
        <v>5.235920019694193E-2</v>
      </c>
      <c r="G62" s="15">
        <f t="shared" si="48"/>
        <v>4.812271356138887E-2</v>
      </c>
      <c r="H62" s="15">
        <f t="shared" si="48"/>
        <v>5.9052397757362998E-2</v>
      </c>
      <c r="I62" s="15">
        <f t="shared" si="48"/>
        <v>5.4315677430049641E-2</v>
      </c>
      <c r="J62" s="15">
        <f t="shared" si="48"/>
        <v>5.0125190609762983E-2</v>
      </c>
      <c r="K62" s="15">
        <f t="shared" si="48"/>
        <v>4.033838892433525E-2</v>
      </c>
      <c r="L62" s="15">
        <f t="shared" si="48"/>
        <v>2.6625138881299748E-2</v>
      </c>
      <c r="M62" s="15">
        <f t="shared" si="48"/>
        <v>3.0302036264033657E-2</v>
      </c>
      <c r="N62" s="15">
        <f t="shared" si="48"/>
        <v>2.7155058732831552E-2</v>
      </c>
      <c r="O62" s="26">
        <f t="shared" si="48"/>
        <v>2.859230076835775E-2</v>
      </c>
      <c r="P62" s="15">
        <f>P34</f>
        <v>2.8683131921740986E-2</v>
      </c>
      <c r="Q62" s="15">
        <f t="shared" ref="Q62:T62" si="49">Q34</f>
        <v>2.8143497140976761E-2</v>
      </c>
      <c r="R62" s="15">
        <f t="shared" si="49"/>
        <v>2.8472976610358497E-2</v>
      </c>
      <c r="S62" s="15">
        <f t="shared" si="49"/>
        <v>2.8433201891025415E-2</v>
      </c>
      <c r="T62" s="15">
        <f t="shared" si="49"/>
        <v>2.834989188078689E-2</v>
      </c>
    </row>
    <row r="64" spans="2:20" x14ac:dyDescent="0.75">
      <c r="B64" t="s">
        <v>37</v>
      </c>
      <c r="E64" s="51">
        <f>E36</f>
        <v>7283</v>
      </c>
      <c r="F64" s="51">
        <f t="shared" ref="F64:O64" si="50">F36</f>
        <v>5417</v>
      </c>
      <c r="G64" s="51">
        <f t="shared" si="50"/>
        <v>6082</v>
      </c>
      <c r="H64" s="51">
        <f t="shared" si="50"/>
        <v>-2456</v>
      </c>
      <c r="I64" s="51">
        <f t="shared" si="50"/>
        <v>-9073</v>
      </c>
      <c r="J64" s="51">
        <f t="shared" si="50"/>
        <v>30013</v>
      </c>
      <c r="K64" s="51">
        <f t="shared" si="50"/>
        <v>-1521</v>
      </c>
      <c r="L64" s="51">
        <f t="shared" si="50"/>
        <v>2962</v>
      </c>
      <c r="M64" s="51">
        <f t="shared" si="50"/>
        <v>4470</v>
      </c>
      <c r="N64" s="51">
        <f t="shared" si="50"/>
        <v>-7909</v>
      </c>
      <c r="O64" s="62">
        <f t="shared" si="50"/>
        <v>-1382</v>
      </c>
      <c r="P64" s="51">
        <f>P36</f>
        <v>-63.155921027871585</v>
      </c>
      <c r="Q64" s="8">
        <f t="shared" ref="Q64:T64" si="51">Q36</f>
        <v>4113.8</v>
      </c>
      <c r="R64" s="8">
        <f t="shared" si="51"/>
        <v>4612.5216</v>
      </c>
      <c r="S64" s="8">
        <f t="shared" si="51"/>
        <v>2009.0850210087783</v>
      </c>
      <c r="T64" s="8">
        <f t="shared" si="51"/>
        <v>3011.2822227229231</v>
      </c>
    </row>
    <row r="65" spans="2:21" s="15" customFormat="1" x14ac:dyDescent="0.75">
      <c r="B65" s="15" t="s">
        <v>33</v>
      </c>
      <c r="E65" s="15">
        <f>E37</f>
        <v>4.2613071207068046E-2</v>
      </c>
      <c r="F65" s="15">
        <f t="shared" ref="F65:O65" si="52">F37</f>
        <v>2.96342897781668E-2</v>
      </c>
      <c r="G65" s="15">
        <f t="shared" si="52"/>
        <v>2.6023147851015126E-2</v>
      </c>
      <c r="H65" s="15">
        <f t="shared" si="52"/>
        <v>-1.1389405441501769E-2</v>
      </c>
      <c r="I65" s="15">
        <f t="shared" si="52"/>
        <v>-3.9579643508380086E-2</v>
      </c>
      <c r="J65" s="15">
        <f t="shared" si="52"/>
        <v>0.11300288032530732</v>
      </c>
      <c r="K65" s="15">
        <f t="shared" si="52"/>
        <v>-5.8460876182862241E-3</v>
      </c>
      <c r="L65" s="15">
        <f t="shared" si="52"/>
        <v>1.0789938619018996E-2</v>
      </c>
      <c r="M65" s="15">
        <f t="shared" si="52"/>
        <v>1.2219224366281501E-2</v>
      </c>
      <c r="N65" s="15">
        <f t="shared" si="52"/>
        <v>-2.0056906940415085E-2</v>
      </c>
      <c r="O65" s="26">
        <f t="shared" si="52"/>
        <v>-3.6056720195155041E-3</v>
      </c>
      <c r="P65" s="15">
        <f>P37</f>
        <v>-1.633539936575231E-4</v>
      </c>
      <c r="Q65" s="15">
        <f t="shared" ref="Q65:T65" si="53">Q37</f>
        <v>0.01</v>
      </c>
      <c r="R65" s="15">
        <f t="shared" si="53"/>
        <v>1.0200000000000001E-2</v>
      </c>
      <c r="S65" s="15">
        <f t="shared" si="53"/>
        <v>4.1077434967067439E-3</v>
      </c>
      <c r="T65" s="15">
        <f t="shared" si="53"/>
        <v>6.0360973757623056E-3</v>
      </c>
    </row>
    <row r="67" spans="2:21" s="1" customFormat="1" x14ac:dyDescent="0.75">
      <c r="B67" s="70" t="s">
        <v>38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2"/>
      <c r="P67" s="73">
        <f ca="1">P56+P58-P61-P64</f>
        <v>106193.87855656314</v>
      </c>
      <c r="Q67" s="73">
        <f t="shared" ref="Q67:T67" ca="1" si="54">Q56+Q58-Q61-Q64</f>
        <v>112978.73987823448</v>
      </c>
      <c r="R67" s="73">
        <f t="shared" ca="1" si="54"/>
        <v>123375.01769669133</v>
      </c>
      <c r="S67" s="73">
        <f t="shared" ca="1" si="54"/>
        <v>142864.95413937888</v>
      </c>
      <c r="T67" s="77">
        <f t="shared" ca="1" si="54"/>
        <v>162948.479229916</v>
      </c>
    </row>
    <row r="68" spans="2:21" s="1" customFormat="1" x14ac:dyDescent="0.75">
      <c r="B68" s="74" t="s">
        <v>39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6"/>
      <c r="P68" s="80">
        <f ca="1">P67/(1+wacc)^P38</f>
        <v>96370.024544546701</v>
      </c>
      <c r="Q68" s="80">
        <f ca="1">Q67/(1+wacc)^Q38</f>
        <v>93042.570392575042</v>
      </c>
      <c r="R68" s="80">
        <f ca="1">R67/(1+wacc)^R38</f>
        <v>92205.045781438093</v>
      </c>
      <c r="S68" s="80">
        <f ca="1">S67/(1+wacc)^S38</f>
        <v>96893.725054303781</v>
      </c>
      <c r="T68" s="80">
        <f ca="1">T67/(1+wacc)^T38</f>
        <v>100291.18082017824</v>
      </c>
    </row>
    <row r="70" spans="2:21" x14ac:dyDescent="0.75">
      <c r="B70" t="s">
        <v>40</v>
      </c>
      <c r="T70" s="44">
        <f ca="1">(DCF!T67*(1+tgr)/(wacc-tgr))</f>
        <v>2333048.4683350432</v>
      </c>
      <c r="U70" s="43">
        <f ca="1">T67*(1+tgr)/(wacc-tgr)</f>
        <v>2333048.4683350432</v>
      </c>
    </row>
    <row r="71" spans="2:21" x14ac:dyDescent="0.75">
      <c r="B71" s="4" t="s">
        <v>41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4"/>
      <c r="P71" s="4"/>
      <c r="Q71" s="4"/>
      <c r="R71" s="4"/>
      <c r="S71" s="4"/>
      <c r="T71" s="81">
        <f ca="1">T70/(1+wacc)^T38</f>
        <v>1435939.6718878497</v>
      </c>
    </row>
    <row r="72" spans="2:21" x14ac:dyDescent="0.75">
      <c r="B72" t="s">
        <v>132</v>
      </c>
      <c r="T72" s="44">
        <f ca="1">SUM(P68:T68,T71)</f>
        <v>1914742.2184808915</v>
      </c>
    </row>
    <row r="73" spans="2:21" x14ac:dyDescent="0.75">
      <c r="B73" t="s">
        <v>133</v>
      </c>
      <c r="T73" s="19">
        <f>BALACNCESHEET!L4</f>
        <v>61555</v>
      </c>
    </row>
    <row r="74" spans="2:21" x14ac:dyDescent="0.75">
      <c r="B74" t="s">
        <v>134</v>
      </c>
      <c r="T74" s="44">
        <f>WACC!D7</f>
        <v>83451</v>
      </c>
    </row>
    <row r="75" spans="2:21" x14ac:dyDescent="0.75">
      <c r="B75" t="s">
        <v>13</v>
      </c>
      <c r="T75" s="44">
        <f ca="1">T72-T74+T73</f>
        <v>1892846.2184808915</v>
      </c>
    </row>
    <row r="77" spans="2:21" x14ac:dyDescent="0.75">
      <c r="B77" t="s">
        <v>54</v>
      </c>
      <c r="T77" s="8">
        <f>IS!L20</f>
        <v>15744</v>
      </c>
    </row>
    <row r="78" spans="2:21" x14ac:dyDescent="0.75">
      <c r="B78" t="s">
        <v>135</v>
      </c>
      <c r="T78" s="43">
        <f ca="1">T75/T77</f>
        <v>120.22651286082899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8325-17E2-4D38-899B-BDEED4AD660F}">
  <dimension ref="A2:L28"/>
  <sheetViews>
    <sheetView topLeftCell="A6" zoomScale="91" workbookViewId="0">
      <selection activeCell="B20" sqref="B20"/>
    </sheetView>
  </sheetViews>
  <sheetFormatPr defaultRowHeight="14.75" x14ac:dyDescent="0.75"/>
  <cols>
    <col min="1" max="1" width="38.36328125" bestFit="1" customWidth="1"/>
    <col min="2" max="13" width="8.953125" bestFit="1" customWidth="1"/>
    <col min="14" max="14" width="3.04296875" bestFit="1" customWidth="1"/>
    <col min="15" max="15" width="8.953125" bestFit="1" customWidth="1"/>
  </cols>
  <sheetData>
    <row r="2" spans="1:12" x14ac:dyDescent="0.75">
      <c r="A2" t="s">
        <v>42</v>
      </c>
      <c r="B2" s="18">
        <v>41547</v>
      </c>
      <c r="C2" s="18">
        <v>41912</v>
      </c>
      <c r="D2" s="18">
        <v>42277</v>
      </c>
      <c r="E2" s="18">
        <v>42643</v>
      </c>
      <c r="F2" s="18">
        <v>43008</v>
      </c>
      <c r="G2" s="18">
        <v>43373</v>
      </c>
      <c r="H2" s="18">
        <v>43738</v>
      </c>
      <c r="I2" s="18">
        <v>44104</v>
      </c>
      <c r="J2" s="18">
        <v>44469</v>
      </c>
      <c r="K2" s="18">
        <v>44834</v>
      </c>
      <c r="L2" s="18">
        <v>45199</v>
      </c>
    </row>
    <row r="4" spans="1:12" x14ac:dyDescent="0.75">
      <c r="A4" t="s">
        <v>90</v>
      </c>
      <c r="B4" s="19">
        <v>40546</v>
      </c>
      <c r="C4" s="19">
        <v>25077</v>
      </c>
      <c r="D4" s="19">
        <v>41601</v>
      </c>
      <c r="E4" s="19">
        <v>67155</v>
      </c>
      <c r="F4" s="19">
        <v>74181</v>
      </c>
      <c r="G4" s="19">
        <v>66301</v>
      </c>
      <c r="H4" s="19">
        <v>100557</v>
      </c>
      <c r="I4" s="19">
        <v>90943</v>
      </c>
      <c r="J4" s="19">
        <v>62639</v>
      </c>
      <c r="K4" s="19">
        <v>48304</v>
      </c>
      <c r="L4" s="19">
        <v>61555</v>
      </c>
    </row>
    <row r="5" spans="1:12" x14ac:dyDescent="0.75">
      <c r="A5" t="s">
        <v>91</v>
      </c>
      <c r="B5" s="19">
        <v>20641</v>
      </c>
      <c r="C5" s="19">
        <v>27219</v>
      </c>
      <c r="D5" s="19">
        <v>30343</v>
      </c>
      <c r="E5" s="19">
        <v>29299</v>
      </c>
      <c r="F5" s="19">
        <v>35673</v>
      </c>
      <c r="G5" s="19">
        <v>48995</v>
      </c>
      <c r="H5" s="19">
        <v>45804</v>
      </c>
      <c r="I5" s="19">
        <v>37445</v>
      </c>
      <c r="J5" s="19">
        <v>51506</v>
      </c>
      <c r="K5" s="19">
        <v>60932</v>
      </c>
      <c r="L5" s="19">
        <v>60985</v>
      </c>
    </row>
    <row r="6" spans="1:12" x14ac:dyDescent="0.75">
      <c r="A6" t="s">
        <v>92</v>
      </c>
      <c r="B6" s="19">
        <v>1764</v>
      </c>
      <c r="C6" s="19">
        <v>2111</v>
      </c>
      <c r="D6" s="19">
        <v>2349</v>
      </c>
      <c r="E6" s="19">
        <v>2132</v>
      </c>
      <c r="F6" s="19">
        <v>4855</v>
      </c>
      <c r="G6" s="19">
        <v>3956</v>
      </c>
      <c r="H6" s="19">
        <v>4106</v>
      </c>
      <c r="I6" s="19">
        <v>4061</v>
      </c>
      <c r="J6" s="19">
        <v>6580</v>
      </c>
      <c r="K6" s="19">
        <v>4946</v>
      </c>
      <c r="L6" s="19">
        <v>6331</v>
      </c>
    </row>
    <row r="7" spans="1:12" x14ac:dyDescent="0.75">
      <c r="A7" t="s">
        <v>110</v>
      </c>
    </row>
    <row r="8" spans="1:12" x14ac:dyDescent="0.75">
      <c r="A8" t="s">
        <v>109</v>
      </c>
      <c r="B8" s="19">
        <v>6882</v>
      </c>
      <c r="C8" s="19">
        <v>9806</v>
      </c>
      <c r="D8" s="19">
        <v>15085</v>
      </c>
      <c r="E8" s="19">
        <v>8283</v>
      </c>
      <c r="F8" s="19">
        <v>13936</v>
      </c>
      <c r="G8" s="19">
        <v>12087</v>
      </c>
      <c r="H8" s="19">
        <v>12352</v>
      </c>
      <c r="I8" s="19">
        <v>11264</v>
      </c>
      <c r="J8" s="19">
        <v>14111</v>
      </c>
      <c r="K8" s="19">
        <v>21223</v>
      </c>
      <c r="L8" s="19">
        <v>14695</v>
      </c>
    </row>
    <row r="9" spans="1:12" x14ac:dyDescent="0.75">
      <c r="A9" t="s">
        <v>93</v>
      </c>
      <c r="B9" s="19">
        <v>73286</v>
      </c>
      <c r="C9" s="19">
        <v>68531</v>
      </c>
      <c r="D9" s="19">
        <v>89378</v>
      </c>
      <c r="E9" s="19">
        <v>106869</v>
      </c>
      <c r="F9" s="19">
        <v>128645</v>
      </c>
      <c r="G9" s="19">
        <v>131339</v>
      </c>
      <c r="H9" s="19">
        <v>162819</v>
      </c>
      <c r="I9" s="19">
        <v>143713</v>
      </c>
      <c r="J9" s="19">
        <v>134836</v>
      </c>
      <c r="K9" s="19">
        <v>135405</v>
      </c>
      <c r="L9" s="19">
        <v>143566</v>
      </c>
    </row>
    <row r="10" spans="1:12" x14ac:dyDescent="0.75">
      <c r="A10" t="s">
        <v>94</v>
      </c>
      <c r="B10" s="19">
        <v>16597</v>
      </c>
      <c r="C10" s="19">
        <v>20624</v>
      </c>
      <c r="D10" s="19">
        <v>22471</v>
      </c>
      <c r="E10" s="19">
        <v>27010</v>
      </c>
      <c r="F10" s="19">
        <v>33783</v>
      </c>
      <c r="G10" s="19">
        <v>41304</v>
      </c>
      <c r="H10" s="19">
        <v>37378</v>
      </c>
      <c r="I10" s="19">
        <v>36766</v>
      </c>
      <c r="J10" s="19">
        <v>39440</v>
      </c>
      <c r="K10" s="19">
        <v>42117</v>
      </c>
      <c r="L10" s="19">
        <v>43715</v>
      </c>
    </row>
    <row r="11" spans="1:12" x14ac:dyDescent="0.75">
      <c r="A11" t="s">
        <v>95</v>
      </c>
      <c r="B11" s="19">
        <v>106215</v>
      </c>
      <c r="C11" s="19">
        <v>130162</v>
      </c>
      <c r="D11" s="19">
        <v>164065</v>
      </c>
      <c r="E11" s="19">
        <v>170430</v>
      </c>
      <c r="F11" s="19">
        <v>194714</v>
      </c>
      <c r="G11" s="19">
        <v>170799</v>
      </c>
      <c r="H11" s="19">
        <v>105341</v>
      </c>
      <c r="I11" s="19">
        <v>100887</v>
      </c>
      <c r="J11" s="19">
        <v>127877</v>
      </c>
      <c r="K11" s="19">
        <v>120805</v>
      </c>
      <c r="L11" s="19">
        <v>100544</v>
      </c>
    </row>
    <row r="12" spans="1:12" x14ac:dyDescent="0.75">
      <c r="A12" t="s">
        <v>96</v>
      </c>
      <c r="B12" s="19">
        <v>5756</v>
      </c>
      <c r="C12" s="19">
        <v>8758</v>
      </c>
      <c r="D12" s="19">
        <v>9009</v>
      </c>
      <c r="E12" s="19">
        <v>8620</v>
      </c>
    </row>
    <row r="13" spans="1:12" x14ac:dyDescent="0.75">
      <c r="A13" t="s">
        <v>97</v>
      </c>
      <c r="B13" s="19">
        <v>5146</v>
      </c>
      <c r="C13" s="19">
        <v>3764</v>
      </c>
      <c r="D13" s="19">
        <v>5422</v>
      </c>
      <c r="E13" s="19">
        <v>8757</v>
      </c>
      <c r="F13" s="19">
        <v>18177</v>
      </c>
      <c r="G13" s="19">
        <v>22283</v>
      </c>
      <c r="H13" s="19">
        <v>32978</v>
      </c>
      <c r="I13" s="19">
        <v>42522</v>
      </c>
      <c r="J13" s="19">
        <v>48849</v>
      </c>
      <c r="K13" s="19">
        <v>54428</v>
      </c>
      <c r="L13" s="19">
        <v>64758</v>
      </c>
    </row>
    <row r="14" spans="1:12" x14ac:dyDescent="0.75">
      <c r="A14" t="s">
        <v>98</v>
      </c>
      <c r="B14" s="19">
        <v>133714</v>
      </c>
      <c r="C14" s="19">
        <v>163308</v>
      </c>
      <c r="D14" s="19">
        <v>200967</v>
      </c>
      <c r="E14" s="19">
        <v>214817</v>
      </c>
      <c r="F14" s="19">
        <v>246674</v>
      </c>
      <c r="G14" s="19">
        <v>234386</v>
      </c>
      <c r="H14" s="19">
        <v>175697</v>
      </c>
      <c r="I14" s="19">
        <v>180175</v>
      </c>
      <c r="J14" s="19">
        <v>216166</v>
      </c>
      <c r="K14" s="19">
        <v>217350</v>
      </c>
      <c r="L14" s="19">
        <v>209017</v>
      </c>
    </row>
    <row r="15" spans="1:12" x14ac:dyDescent="0.75">
      <c r="A15" t="s">
        <v>99</v>
      </c>
      <c r="B15" s="19">
        <v>207000</v>
      </c>
      <c r="C15" s="19">
        <v>231839</v>
      </c>
      <c r="D15" s="19">
        <v>290345</v>
      </c>
      <c r="E15" s="19">
        <v>321686</v>
      </c>
      <c r="F15" s="19">
        <v>375319</v>
      </c>
      <c r="G15" s="19">
        <v>365725</v>
      </c>
      <c r="H15" s="19">
        <v>338516</v>
      </c>
      <c r="I15" s="19">
        <v>323888</v>
      </c>
      <c r="J15" s="19">
        <v>351002</v>
      </c>
      <c r="K15" s="19">
        <v>352755</v>
      </c>
      <c r="L15" s="19">
        <v>352583</v>
      </c>
    </row>
    <row r="16" spans="1:12" x14ac:dyDescent="0.75">
      <c r="A16" t="s">
        <v>100</v>
      </c>
      <c r="B16" s="19">
        <v>43658</v>
      </c>
      <c r="C16" s="19">
        <v>63448</v>
      </c>
      <c r="D16" s="19">
        <v>80610</v>
      </c>
      <c r="E16" s="19">
        <v>79006</v>
      </c>
      <c r="F16" s="19">
        <v>100814</v>
      </c>
      <c r="G16" s="19">
        <v>115929</v>
      </c>
      <c r="H16" s="19">
        <v>105718</v>
      </c>
      <c r="I16" s="19">
        <v>105392</v>
      </c>
      <c r="J16" s="19">
        <v>125481</v>
      </c>
      <c r="K16" s="19">
        <v>153982</v>
      </c>
      <c r="L16" s="19">
        <v>145308</v>
      </c>
    </row>
    <row r="17" spans="1:12" x14ac:dyDescent="0.75">
      <c r="A17" t="s">
        <v>101</v>
      </c>
      <c r="B17" s="19">
        <v>16960</v>
      </c>
      <c r="C17" s="19">
        <v>28987</v>
      </c>
      <c r="D17" s="19">
        <v>53329</v>
      </c>
      <c r="E17" s="19">
        <v>75427</v>
      </c>
      <c r="F17" s="19">
        <v>97207</v>
      </c>
      <c r="G17" s="19">
        <v>93735</v>
      </c>
      <c r="H17" s="19">
        <v>91807</v>
      </c>
      <c r="I17" s="19">
        <v>98667</v>
      </c>
      <c r="J17" s="19">
        <v>109106</v>
      </c>
      <c r="K17" s="19">
        <v>98959</v>
      </c>
      <c r="L17" s="19">
        <v>95281</v>
      </c>
    </row>
    <row r="18" spans="1:12" x14ac:dyDescent="0.75">
      <c r="A18" t="s">
        <v>102</v>
      </c>
      <c r="B18" s="19">
        <v>20208</v>
      </c>
      <c r="C18" s="19">
        <v>24826</v>
      </c>
      <c r="D18" s="19">
        <v>33427</v>
      </c>
      <c r="E18" s="19">
        <v>36074</v>
      </c>
      <c r="F18" s="19">
        <v>40415</v>
      </c>
      <c r="G18" s="19">
        <v>48914</v>
      </c>
      <c r="H18" s="19">
        <v>50503</v>
      </c>
      <c r="I18" s="19">
        <v>54490</v>
      </c>
      <c r="J18" s="19">
        <v>53325</v>
      </c>
      <c r="K18" s="19">
        <v>49142</v>
      </c>
      <c r="L18" s="19">
        <v>49848</v>
      </c>
    </row>
    <row r="19" spans="1:12" x14ac:dyDescent="0.75">
      <c r="A19" t="s">
        <v>103</v>
      </c>
      <c r="B19" s="19">
        <v>39793</v>
      </c>
      <c r="C19" s="19">
        <v>56844</v>
      </c>
      <c r="D19" s="19">
        <v>90380</v>
      </c>
      <c r="E19" s="19">
        <v>114431</v>
      </c>
      <c r="F19" s="19">
        <v>140458</v>
      </c>
      <c r="G19" s="19">
        <v>142649</v>
      </c>
      <c r="H19" s="19">
        <v>142310</v>
      </c>
      <c r="I19" s="19">
        <v>153157</v>
      </c>
      <c r="J19" s="19">
        <v>162431</v>
      </c>
      <c r="K19" s="19">
        <v>148101</v>
      </c>
      <c r="L19" s="19">
        <v>145129</v>
      </c>
    </row>
    <row r="20" spans="1:12" x14ac:dyDescent="0.75">
      <c r="A20" t="s">
        <v>104</v>
      </c>
      <c r="B20" s="19">
        <v>83451</v>
      </c>
      <c r="C20" s="19">
        <v>120292</v>
      </c>
      <c r="D20" s="19">
        <v>170990</v>
      </c>
      <c r="E20" s="19">
        <v>193437</v>
      </c>
      <c r="F20" s="19">
        <v>241272</v>
      </c>
      <c r="G20" s="19">
        <v>258578</v>
      </c>
      <c r="H20" s="19">
        <v>248028</v>
      </c>
      <c r="I20" s="19">
        <v>258549</v>
      </c>
      <c r="J20" s="19">
        <v>287912</v>
      </c>
      <c r="K20" s="19">
        <v>302083</v>
      </c>
      <c r="L20" s="19">
        <v>290437</v>
      </c>
    </row>
    <row r="21" spans="1:12" x14ac:dyDescent="0.75">
      <c r="A21" t="s">
        <v>105</v>
      </c>
      <c r="B21" s="19">
        <v>19764</v>
      </c>
      <c r="C21" s="19">
        <v>23313</v>
      </c>
      <c r="D21" s="19">
        <v>27416</v>
      </c>
      <c r="E21" s="19">
        <v>31251</v>
      </c>
      <c r="F21" s="19">
        <v>35867</v>
      </c>
      <c r="G21" s="19">
        <v>40201</v>
      </c>
      <c r="H21" s="19">
        <v>45174</v>
      </c>
      <c r="I21" s="19">
        <v>50779</v>
      </c>
      <c r="J21" s="19">
        <v>57365</v>
      </c>
      <c r="K21" s="19">
        <v>64849</v>
      </c>
      <c r="L21" s="19">
        <v>73812</v>
      </c>
    </row>
    <row r="22" spans="1:12" x14ac:dyDescent="0.75">
      <c r="A22" t="s">
        <v>106</v>
      </c>
      <c r="B22" s="19">
        <v>104256</v>
      </c>
      <c r="C22" s="19">
        <v>87152</v>
      </c>
      <c r="D22" s="19">
        <v>92284</v>
      </c>
      <c r="E22" s="19">
        <v>96364</v>
      </c>
      <c r="F22" s="19">
        <v>98330</v>
      </c>
      <c r="G22" s="19">
        <v>70400</v>
      </c>
      <c r="H22" s="19">
        <v>45898</v>
      </c>
      <c r="I22" s="19">
        <v>14966</v>
      </c>
      <c r="J22" s="19">
        <v>5562</v>
      </c>
      <c r="K22" s="19">
        <v>-3068</v>
      </c>
      <c r="L22" s="19">
        <v>-214</v>
      </c>
    </row>
    <row r="23" spans="1:12" x14ac:dyDescent="0.75">
      <c r="A23" t="s">
        <v>107</v>
      </c>
      <c r="B23" s="19">
        <v>-471</v>
      </c>
      <c r="C23" s="19">
        <v>1082</v>
      </c>
      <c r="D23" s="19">
        <v>-345</v>
      </c>
      <c r="E23" s="19">
        <v>634</v>
      </c>
      <c r="F23" s="19">
        <v>-150</v>
      </c>
      <c r="G23" s="19">
        <v>-3454</v>
      </c>
      <c r="H23" s="19">
        <v>-584</v>
      </c>
      <c r="I23" s="19">
        <v>-406</v>
      </c>
      <c r="J23" s="19">
        <v>163</v>
      </c>
      <c r="K23" s="19">
        <v>-11109</v>
      </c>
      <c r="L23" s="19">
        <v>-11452</v>
      </c>
    </row>
    <row r="24" spans="1:12" x14ac:dyDescent="0.75">
      <c r="A24" t="s">
        <v>111</v>
      </c>
    </row>
    <row r="25" spans="1:12" x14ac:dyDescent="0.75">
      <c r="A25" t="s">
        <v>112</v>
      </c>
      <c r="B25" s="19">
        <v>123549</v>
      </c>
      <c r="C25" s="19">
        <v>111547</v>
      </c>
      <c r="D25" s="19">
        <v>119355</v>
      </c>
      <c r="E25" s="19">
        <v>128249</v>
      </c>
      <c r="F25" s="19">
        <v>134047</v>
      </c>
      <c r="G25" s="19">
        <v>107147</v>
      </c>
      <c r="H25" s="19">
        <v>90488</v>
      </c>
      <c r="I25" s="19">
        <v>65339</v>
      </c>
      <c r="J25" s="19">
        <v>63090</v>
      </c>
      <c r="K25" s="19">
        <v>50672</v>
      </c>
      <c r="L25" s="19">
        <v>62146</v>
      </c>
    </row>
    <row r="26" spans="1:12" x14ac:dyDescent="0.75">
      <c r="A26" t="s">
        <v>108</v>
      </c>
      <c r="B26" s="19">
        <v>207000</v>
      </c>
      <c r="C26" s="19">
        <v>231839</v>
      </c>
      <c r="D26" s="19">
        <v>290345</v>
      </c>
      <c r="E26" s="19">
        <v>321686</v>
      </c>
      <c r="F26" s="19">
        <v>375319</v>
      </c>
      <c r="G26" s="19">
        <v>365725</v>
      </c>
      <c r="H26" s="19">
        <v>338516</v>
      </c>
      <c r="I26" s="19">
        <v>323888</v>
      </c>
      <c r="J26" s="19">
        <v>351002</v>
      </c>
      <c r="K26" s="19">
        <v>352755</v>
      </c>
      <c r="L26" s="19">
        <v>352583</v>
      </c>
    </row>
    <row r="27" spans="1:12" x14ac:dyDescent="0.75">
      <c r="A27" t="s">
        <v>137</v>
      </c>
      <c r="B27" s="19">
        <f>B9-B16</f>
        <v>29628</v>
      </c>
      <c r="C27" s="19">
        <f t="shared" ref="C27:L27" si="0">C9-C16</f>
        <v>5083</v>
      </c>
      <c r="D27" s="19">
        <f t="shared" si="0"/>
        <v>8768</v>
      </c>
      <c r="E27" s="19">
        <f t="shared" si="0"/>
        <v>27863</v>
      </c>
      <c r="F27" s="19">
        <f t="shared" si="0"/>
        <v>27831</v>
      </c>
      <c r="G27" s="19">
        <f t="shared" si="0"/>
        <v>15410</v>
      </c>
      <c r="H27" s="19">
        <f t="shared" si="0"/>
        <v>57101</v>
      </c>
      <c r="I27" s="19">
        <f t="shared" si="0"/>
        <v>38321</v>
      </c>
      <c r="J27" s="19">
        <f t="shared" si="0"/>
        <v>9355</v>
      </c>
      <c r="K27" s="19">
        <f t="shared" si="0"/>
        <v>-18577</v>
      </c>
      <c r="L27" s="19">
        <f t="shared" si="0"/>
        <v>-1742</v>
      </c>
    </row>
    <row r="28" spans="1:12" x14ac:dyDescent="0.75">
      <c r="A28" t="s">
        <v>138</v>
      </c>
      <c r="B28" s="83" t="s">
        <v>128</v>
      </c>
      <c r="C28" s="19">
        <f>C27-B27</f>
        <v>-24545</v>
      </c>
      <c r="D28" s="19">
        <f t="shared" ref="D28:L28" si="1">D27-C27</f>
        <v>3685</v>
      </c>
      <c r="E28" s="19">
        <f t="shared" si="1"/>
        <v>19095</v>
      </c>
      <c r="F28" s="19">
        <f t="shared" si="1"/>
        <v>-32</v>
      </c>
      <c r="G28" s="19">
        <f t="shared" si="1"/>
        <v>-12421</v>
      </c>
      <c r="H28" s="19">
        <f t="shared" si="1"/>
        <v>41691</v>
      </c>
      <c r="I28" s="19">
        <f t="shared" si="1"/>
        <v>-18780</v>
      </c>
      <c r="J28" s="19">
        <f t="shared" si="1"/>
        <v>-28966</v>
      </c>
      <c r="K28" s="19">
        <f t="shared" si="1"/>
        <v>-27932</v>
      </c>
      <c r="L28" s="19">
        <f t="shared" si="1"/>
        <v>16835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19F0-81E9-4A1E-AC98-5B065BFA82CC}">
  <dimension ref="A1:L22"/>
  <sheetViews>
    <sheetView workbookViewId="0">
      <selection activeCell="A20" sqref="A20"/>
    </sheetView>
  </sheetViews>
  <sheetFormatPr defaultRowHeight="14.75" x14ac:dyDescent="0.75"/>
  <cols>
    <col min="1" max="1" width="61.58984375" bestFit="1" customWidth="1"/>
    <col min="2" max="12" width="8.953125" bestFit="1" customWidth="1"/>
  </cols>
  <sheetData>
    <row r="1" spans="1:12" x14ac:dyDescent="0.75">
      <c r="A1" s="21" t="s">
        <v>42</v>
      </c>
      <c r="B1" s="22">
        <v>41547</v>
      </c>
      <c r="C1" s="22">
        <v>41912</v>
      </c>
      <c r="D1" s="22">
        <v>42277</v>
      </c>
      <c r="E1" s="22">
        <v>42643</v>
      </c>
      <c r="F1" s="22">
        <v>43008</v>
      </c>
      <c r="G1" s="22">
        <v>43373</v>
      </c>
      <c r="H1" s="22">
        <v>43738</v>
      </c>
      <c r="I1" s="22">
        <v>44104</v>
      </c>
      <c r="J1" s="22">
        <v>44469</v>
      </c>
      <c r="K1" s="22">
        <v>44834</v>
      </c>
      <c r="L1" s="22">
        <v>45199</v>
      </c>
    </row>
    <row r="2" spans="1:12" x14ac:dyDescent="0.75">
      <c r="A2" t="s">
        <v>20</v>
      </c>
      <c r="B2" s="19">
        <v>170910</v>
      </c>
      <c r="C2" s="19">
        <v>182795</v>
      </c>
      <c r="D2" s="19">
        <v>233715</v>
      </c>
      <c r="E2" s="19">
        <v>215639</v>
      </c>
      <c r="F2" s="19">
        <v>229234</v>
      </c>
      <c r="G2" s="19">
        <v>265595</v>
      </c>
      <c r="H2" s="19">
        <v>260174</v>
      </c>
      <c r="I2" s="19">
        <v>274515</v>
      </c>
      <c r="J2" s="19">
        <v>365817</v>
      </c>
      <c r="K2" s="19">
        <v>394328</v>
      </c>
      <c r="L2" s="19">
        <v>383285</v>
      </c>
    </row>
    <row r="3" spans="1:12" x14ac:dyDescent="0.75">
      <c r="A3" t="s">
        <v>43</v>
      </c>
      <c r="B3" s="19">
        <v>106606</v>
      </c>
      <c r="C3" s="19">
        <v>112258</v>
      </c>
      <c r="D3" s="19">
        <v>140089</v>
      </c>
      <c r="E3" s="19">
        <v>131376</v>
      </c>
      <c r="F3" s="19">
        <v>141048</v>
      </c>
      <c r="G3" s="19">
        <v>163756</v>
      </c>
      <c r="H3" s="19">
        <v>161782</v>
      </c>
      <c r="I3" s="19">
        <v>169559</v>
      </c>
      <c r="J3" s="19">
        <v>212981</v>
      </c>
      <c r="K3" s="19">
        <v>223546</v>
      </c>
      <c r="L3" s="19">
        <v>214137</v>
      </c>
    </row>
    <row r="4" spans="1:12" x14ac:dyDescent="0.75">
      <c r="A4" t="s">
        <v>44</v>
      </c>
      <c r="B4" s="19">
        <v>64304</v>
      </c>
      <c r="C4" s="19">
        <v>70537</v>
      </c>
      <c r="D4" s="19">
        <v>93626</v>
      </c>
      <c r="E4" s="19">
        <v>84263</v>
      </c>
      <c r="F4" s="19">
        <v>88186</v>
      </c>
      <c r="G4" s="19">
        <v>101839</v>
      </c>
      <c r="H4" s="19">
        <v>98392</v>
      </c>
      <c r="I4" s="19">
        <v>104956</v>
      </c>
      <c r="J4" s="19">
        <v>152836</v>
      </c>
      <c r="K4" s="19">
        <v>170782</v>
      </c>
      <c r="L4" s="19">
        <v>169148</v>
      </c>
    </row>
    <row r="5" spans="1:12" x14ac:dyDescent="0.75">
      <c r="A5" t="s">
        <v>45</v>
      </c>
      <c r="B5" s="19">
        <v>4475</v>
      </c>
      <c r="C5" s="19">
        <v>6041</v>
      </c>
      <c r="D5" s="19">
        <v>8067</v>
      </c>
      <c r="E5" s="19">
        <v>10045</v>
      </c>
      <c r="F5" s="19">
        <v>11581</v>
      </c>
      <c r="G5" s="19">
        <v>14236</v>
      </c>
      <c r="H5" s="19">
        <v>16217</v>
      </c>
      <c r="I5" s="19">
        <v>18752</v>
      </c>
      <c r="J5" s="19">
        <v>21914</v>
      </c>
      <c r="K5" s="19">
        <v>26251</v>
      </c>
      <c r="L5" s="19">
        <v>29915</v>
      </c>
    </row>
    <row r="6" spans="1:12" x14ac:dyDescent="0.75">
      <c r="A6" t="s">
        <v>46</v>
      </c>
      <c r="B6" s="19">
        <v>10830</v>
      </c>
      <c r="C6" s="19">
        <v>11993</v>
      </c>
      <c r="D6" s="19">
        <v>14329</v>
      </c>
      <c r="E6" s="19">
        <v>14194</v>
      </c>
      <c r="F6" s="19">
        <v>15261</v>
      </c>
      <c r="G6" s="19">
        <v>16705</v>
      </c>
      <c r="H6" s="19">
        <v>18245</v>
      </c>
      <c r="I6" s="19">
        <v>19916</v>
      </c>
      <c r="J6" s="19">
        <v>21973</v>
      </c>
      <c r="K6" s="19">
        <v>25094</v>
      </c>
      <c r="L6" s="19">
        <v>24932</v>
      </c>
    </row>
    <row r="7" spans="1:12" x14ac:dyDescent="0.75">
      <c r="A7" t="s">
        <v>56</v>
      </c>
    </row>
    <row r="8" spans="1:12" x14ac:dyDescent="0.75">
      <c r="A8" t="s">
        <v>57</v>
      </c>
      <c r="B8" s="19">
        <v>15305</v>
      </c>
      <c r="C8" s="19">
        <v>18034</v>
      </c>
      <c r="D8" s="19">
        <v>22396</v>
      </c>
      <c r="E8" s="19">
        <v>24239</v>
      </c>
      <c r="F8" s="19">
        <v>26842</v>
      </c>
      <c r="G8" s="19">
        <v>30941</v>
      </c>
      <c r="H8" s="19">
        <v>34462</v>
      </c>
      <c r="I8" s="19">
        <v>38668</v>
      </c>
      <c r="J8" s="19">
        <v>43887</v>
      </c>
      <c r="K8" s="19">
        <v>51345</v>
      </c>
      <c r="L8" s="19">
        <v>54847</v>
      </c>
    </row>
    <row r="9" spans="1:12" x14ac:dyDescent="0.75">
      <c r="A9" t="s">
        <v>47</v>
      </c>
      <c r="B9" s="19">
        <v>48999</v>
      </c>
      <c r="C9" s="19">
        <v>52503</v>
      </c>
      <c r="D9" s="19">
        <v>71230</v>
      </c>
      <c r="E9" s="19">
        <v>60024</v>
      </c>
      <c r="F9" s="19">
        <v>61344</v>
      </c>
      <c r="G9" s="19">
        <v>70898</v>
      </c>
      <c r="H9" s="19">
        <v>63930</v>
      </c>
      <c r="I9" s="19">
        <v>66288</v>
      </c>
      <c r="J9" s="19">
        <v>108949</v>
      </c>
      <c r="K9" s="19">
        <v>119437</v>
      </c>
      <c r="L9" s="19">
        <v>114301</v>
      </c>
    </row>
    <row r="10" spans="1:12" x14ac:dyDescent="0.75">
      <c r="A10" t="s">
        <v>48</v>
      </c>
      <c r="B10" s="19">
        <v>1156</v>
      </c>
      <c r="C10" s="19">
        <v>980</v>
      </c>
      <c r="D10" s="19">
        <v>1285</v>
      </c>
      <c r="E10" s="19">
        <v>1348</v>
      </c>
      <c r="F10" s="19">
        <v>2745</v>
      </c>
      <c r="G10" s="19">
        <v>2005</v>
      </c>
      <c r="H10" s="19">
        <v>1807</v>
      </c>
      <c r="I10" s="19">
        <v>803</v>
      </c>
      <c r="J10" s="19">
        <v>258</v>
      </c>
      <c r="K10" s="19">
        <v>-334</v>
      </c>
      <c r="L10" s="19">
        <v>-565</v>
      </c>
    </row>
    <row r="11" spans="1:12" x14ac:dyDescent="0.75">
      <c r="A11" t="s">
        <v>49</v>
      </c>
      <c r="B11" s="19">
        <v>50155</v>
      </c>
      <c r="C11" s="19">
        <v>53483</v>
      </c>
      <c r="D11" s="19">
        <v>72515</v>
      </c>
      <c r="E11" s="19">
        <v>61372</v>
      </c>
      <c r="F11" s="19">
        <v>64089</v>
      </c>
      <c r="G11" s="19">
        <v>72903</v>
      </c>
      <c r="H11" s="19">
        <v>65737</v>
      </c>
      <c r="I11" s="19">
        <v>67091</v>
      </c>
      <c r="J11" s="19">
        <v>109207</v>
      </c>
      <c r="K11" s="19">
        <v>119103</v>
      </c>
      <c r="L11" s="19">
        <v>113736</v>
      </c>
    </row>
    <row r="12" spans="1:12" x14ac:dyDescent="0.75">
      <c r="A12" t="s">
        <v>50</v>
      </c>
      <c r="B12" s="19">
        <v>13118</v>
      </c>
      <c r="C12" s="19">
        <v>13973</v>
      </c>
      <c r="D12" s="19">
        <v>19121</v>
      </c>
      <c r="E12" s="19">
        <v>15685</v>
      </c>
      <c r="F12" s="19">
        <v>15738</v>
      </c>
      <c r="G12" s="19">
        <v>13372</v>
      </c>
      <c r="H12" s="19">
        <v>10481</v>
      </c>
      <c r="I12" s="19">
        <v>9680</v>
      </c>
      <c r="J12" s="19">
        <v>14527</v>
      </c>
      <c r="K12" s="19">
        <v>19300</v>
      </c>
      <c r="L12" s="19">
        <v>16741</v>
      </c>
    </row>
    <row r="13" spans="1:12" x14ac:dyDescent="0.75">
      <c r="A13" t="s">
        <v>58</v>
      </c>
      <c r="B13" s="19">
        <v>37037</v>
      </c>
      <c r="C13" s="19">
        <v>39510</v>
      </c>
      <c r="D13" s="19">
        <v>53394</v>
      </c>
      <c r="E13" s="19">
        <v>45687</v>
      </c>
      <c r="F13" s="19">
        <v>48351</v>
      </c>
      <c r="G13" s="19">
        <v>59531</v>
      </c>
      <c r="H13" s="19">
        <v>55256</v>
      </c>
      <c r="I13" s="19">
        <v>57411</v>
      </c>
      <c r="J13" s="19">
        <v>94680</v>
      </c>
      <c r="K13" s="19">
        <v>99803</v>
      </c>
      <c r="L13" s="19">
        <v>96995</v>
      </c>
    </row>
    <row r="14" spans="1:12" x14ac:dyDescent="0.75">
      <c r="A14" t="s">
        <v>59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75">
      <c r="A15" t="s">
        <v>60</v>
      </c>
      <c r="B15" s="19">
        <v>37037</v>
      </c>
      <c r="C15" s="19">
        <v>39510</v>
      </c>
      <c r="D15" s="19">
        <v>53394</v>
      </c>
      <c r="E15" s="19">
        <v>45687</v>
      </c>
      <c r="F15" s="19">
        <v>48351</v>
      </c>
      <c r="G15" s="19">
        <v>59531</v>
      </c>
      <c r="H15" s="19">
        <v>55256</v>
      </c>
      <c r="I15" s="19">
        <v>57411</v>
      </c>
      <c r="J15" s="19">
        <v>94680</v>
      </c>
      <c r="K15" s="19">
        <v>99803</v>
      </c>
      <c r="L15" s="19">
        <v>96995</v>
      </c>
    </row>
    <row r="16" spans="1:12" x14ac:dyDescent="0.75">
      <c r="A16" t="s">
        <v>61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75">
      <c r="A17" t="s">
        <v>51</v>
      </c>
      <c r="B17" s="19">
        <v>37037</v>
      </c>
      <c r="C17" s="19">
        <v>39510</v>
      </c>
      <c r="D17" s="19">
        <v>53394</v>
      </c>
      <c r="E17" s="19">
        <v>45687</v>
      </c>
      <c r="F17" s="19">
        <v>48351</v>
      </c>
      <c r="G17" s="19">
        <v>59531</v>
      </c>
      <c r="H17" s="19">
        <v>55256</v>
      </c>
      <c r="I17" s="19">
        <v>57411</v>
      </c>
      <c r="J17" s="19">
        <v>94680</v>
      </c>
      <c r="K17" s="19">
        <v>99803</v>
      </c>
      <c r="L17" s="19">
        <v>96995</v>
      </c>
    </row>
    <row r="18" spans="1:12" x14ac:dyDescent="0.75">
      <c r="A18" t="s">
        <v>52</v>
      </c>
      <c r="B18" s="19">
        <v>55756</v>
      </c>
      <c r="C18" s="19">
        <v>60449</v>
      </c>
      <c r="D18" s="19">
        <v>82487</v>
      </c>
      <c r="E18" s="19">
        <v>70529</v>
      </c>
      <c r="F18" s="19">
        <v>71501</v>
      </c>
      <c r="G18" s="19">
        <v>81801</v>
      </c>
      <c r="H18" s="19">
        <v>76477</v>
      </c>
      <c r="I18" s="19">
        <v>77344</v>
      </c>
      <c r="J18" s="19">
        <v>120233</v>
      </c>
      <c r="K18" s="19">
        <v>130541</v>
      </c>
      <c r="L18" s="19">
        <v>125820</v>
      </c>
    </row>
    <row r="19" spans="1:12" x14ac:dyDescent="0.75">
      <c r="A19" t="s">
        <v>22</v>
      </c>
      <c r="B19" s="19">
        <v>48999</v>
      </c>
      <c r="C19" s="19">
        <v>52503</v>
      </c>
      <c r="D19" s="19">
        <v>71230</v>
      </c>
      <c r="E19" s="19">
        <v>60024</v>
      </c>
      <c r="F19" s="19">
        <v>61344</v>
      </c>
      <c r="G19" s="19">
        <v>70898</v>
      </c>
      <c r="H19" s="19">
        <v>63930</v>
      </c>
      <c r="I19" s="19">
        <v>66288</v>
      </c>
      <c r="J19" s="19">
        <v>108949</v>
      </c>
      <c r="K19" s="19">
        <v>119437</v>
      </c>
      <c r="L19" s="19">
        <v>114301</v>
      </c>
    </row>
    <row r="20" spans="1:12" x14ac:dyDescent="0.75">
      <c r="A20" t="s">
        <v>53</v>
      </c>
      <c r="B20" s="8">
        <v>25909</v>
      </c>
      <c r="C20" s="8">
        <v>24342</v>
      </c>
      <c r="D20" s="8">
        <v>23014</v>
      </c>
      <c r="E20" s="8">
        <v>21883</v>
      </c>
      <c r="F20" s="8">
        <v>20869</v>
      </c>
      <c r="G20" s="8">
        <v>19822</v>
      </c>
      <c r="H20" s="8">
        <v>18471</v>
      </c>
      <c r="I20" s="8">
        <v>17352</v>
      </c>
      <c r="J20" s="8">
        <v>16701</v>
      </c>
      <c r="K20" s="8">
        <v>16216</v>
      </c>
      <c r="L20" s="8">
        <v>15744</v>
      </c>
    </row>
    <row r="21" spans="1:12" x14ac:dyDescent="0.75">
      <c r="A21" t="s">
        <v>54</v>
      </c>
      <c r="B21" s="8">
        <v>26087</v>
      </c>
      <c r="C21" s="8">
        <v>24491</v>
      </c>
      <c r="D21" s="8">
        <v>23172</v>
      </c>
      <c r="E21" s="8">
        <v>22001</v>
      </c>
      <c r="F21" s="8">
        <v>21007</v>
      </c>
      <c r="G21" s="8">
        <v>20000</v>
      </c>
      <c r="H21" s="8">
        <v>18596</v>
      </c>
      <c r="I21" s="8">
        <v>17528</v>
      </c>
      <c r="J21" s="8">
        <v>16865</v>
      </c>
      <c r="K21" s="8">
        <v>16326</v>
      </c>
      <c r="L21" s="8">
        <v>15813</v>
      </c>
    </row>
    <row r="22" spans="1:12" x14ac:dyDescent="0.75">
      <c r="A22" t="s">
        <v>55</v>
      </c>
      <c r="B22" s="20">
        <v>1.43</v>
      </c>
      <c r="C22" s="20">
        <v>1.62</v>
      </c>
      <c r="D22" s="20">
        <v>2.3199999999999998</v>
      </c>
      <c r="E22" s="20">
        <v>2.09</v>
      </c>
      <c r="F22" s="20">
        <v>2.3199999999999998</v>
      </c>
      <c r="G22" s="20">
        <v>3</v>
      </c>
      <c r="H22" s="20">
        <v>2.99</v>
      </c>
      <c r="I22" s="20">
        <v>3.31</v>
      </c>
      <c r="J22" s="20">
        <v>5.67</v>
      </c>
      <c r="K22" s="20">
        <v>6.15</v>
      </c>
      <c r="L22" s="20">
        <v>6.16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1FC6-38F4-4B3C-B326-63BA1A4F50AB}">
  <dimension ref="A1:L30"/>
  <sheetViews>
    <sheetView zoomScale="74" workbookViewId="0">
      <selection activeCell="B12" sqref="B12"/>
    </sheetView>
  </sheetViews>
  <sheetFormatPr defaultRowHeight="14.75" x14ac:dyDescent="0.75"/>
  <cols>
    <col min="1" max="1" width="41.04296875" bestFit="1" customWidth="1"/>
    <col min="2" max="2" width="9.31640625" bestFit="1" customWidth="1"/>
    <col min="3" max="9" width="8.953125" bestFit="1" customWidth="1"/>
    <col min="10" max="10" width="9.31640625" bestFit="1" customWidth="1"/>
    <col min="11" max="12" width="9.36328125" bestFit="1" customWidth="1"/>
  </cols>
  <sheetData>
    <row r="1" spans="1:12" s="21" customFormat="1" x14ac:dyDescent="0.75">
      <c r="A1" s="21" t="s">
        <v>42</v>
      </c>
      <c r="B1" s="22">
        <v>41547</v>
      </c>
      <c r="C1" s="22">
        <v>41912</v>
      </c>
      <c r="D1" s="22">
        <v>42277</v>
      </c>
      <c r="E1" s="22">
        <v>42643</v>
      </c>
      <c r="F1" s="22">
        <v>43008</v>
      </c>
      <c r="G1" s="22">
        <v>43373</v>
      </c>
      <c r="H1" s="22">
        <v>43738</v>
      </c>
      <c r="I1" s="22">
        <v>44104</v>
      </c>
      <c r="J1" s="22">
        <v>44469</v>
      </c>
      <c r="K1" s="22">
        <v>44834</v>
      </c>
      <c r="L1" s="22">
        <v>45199</v>
      </c>
    </row>
    <row r="2" spans="1:12" x14ac:dyDescent="0.75">
      <c r="A2" t="s">
        <v>62</v>
      </c>
      <c r="B2" s="19">
        <v>37037</v>
      </c>
      <c r="C2" s="19">
        <v>39510</v>
      </c>
      <c r="D2" s="19">
        <v>53394</v>
      </c>
      <c r="E2" s="19">
        <v>45687</v>
      </c>
      <c r="F2" s="19">
        <v>48351</v>
      </c>
      <c r="G2" s="19">
        <v>59531</v>
      </c>
      <c r="H2" s="19">
        <v>55256</v>
      </c>
      <c r="I2" s="19">
        <v>57411</v>
      </c>
      <c r="J2" s="19">
        <v>94680</v>
      </c>
      <c r="K2" s="19">
        <v>99803</v>
      </c>
      <c r="L2" s="19">
        <v>96995</v>
      </c>
    </row>
    <row r="3" spans="1:12" x14ac:dyDescent="0.75">
      <c r="A3" t="s">
        <v>63</v>
      </c>
      <c r="B3" s="19">
        <v>6757</v>
      </c>
      <c r="C3" s="19">
        <v>7946</v>
      </c>
      <c r="D3" s="19">
        <v>11257</v>
      </c>
      <c r="E3" s="19">
        <v>10505</v>
      </c>
      <c r="F3" s="19">
        <v>10157</v>
      </c>
      <c r="G3" s="19">
        <v>10903</v>
      </c>
      <c r="H3" s="19">
        <v>12547</v>
      </c>
      <c r="I3" s="19">
        <v>11056</v>
      </c>
      <c r="J3" s="19">
        <v>11284</v>
      </c>
      <c r="K3" s="19">
        <v>11104</v>
      </c>
      <c r="L3" s="19">
        <v>11519</v>
      </c>
    </row>
    <row r="4" spans="1:12" x14ac:dyDescent="0.75">
      <c r="A4" t="s">
        <v>86</v>
      </c>
      <c r="B4" s="19">
        <v>3394</v>
      </c>
      <c r="C4" s="19">
        <v>5210</v>
      </c>
      <c r="D4" s="19">
        <v>5353</v>
      </c>
      <c r="E4" s="19">
        <v>9634</v>
      </c>
      <c r="F4" s="19">
        <v>10640</v>
      </c>
      <c r="G4" s="19">
        <v>-27694</v>
      </c>
      <c r="H4" s="19">
        <v>5076</v>
      </c>
      <c r="I4" s="19">
        <v>6517</v>
      </c>
      <c r="J4" s="19">
        <v>2985</v>
      </c>
      <c r="K4" s="19">
        <v>10044</v>
      </c>
      <c r="L4" s="19">
        <v>8606</v>
      </c>
    </row>
    <row r="5" spans="1:12" x14ac:dyDescent="0.75">
      <c r="A5" t="s">
        <v>87</v>
      </c>
      <c r="B5" s="19">
        <v>10151</v>
      </c>
      <c r="C5" s="19">
        <v>13156</v>
      </c>
      <c r="D5" s="19">
        <v>16610</v>
      </c>
      <c r="E5" s="19">
        <v>20139</v>
      </c>
      <c r="F5" s="19">
        <v>20797</v>
      </c>
      <c r="G5" s="19">
        <v>-16791</v>
      </c>
      <c r="H5" s="19">
        <v>17623</v>
      </c>
      <c r="I5" s="19">
        <v>17573</v>
      </c>
      <c r="J5" s="19">
        <v>14269</v>
      </c>
      <c r="K5" s="19">
        <v>21148</v>
      </c>
      <c r="L5" s="19">
        <v>20125</v>
      </c>
    </row>
    <row r="6" spans="1:12" x14ac:dyDescent="0.75">
      <c r="A6" t="s">
        <v>64</v>
      </c>
      <c r="B6" s="19">
        <v>-2172</v>
      </c>
      <c r="C6" s="19">
        <v>4232</v>
      </c>
      <c r="D6" s="19">
        <v>417</v>
      </c>
      <c r="E6" s="19">
        <v>527</v>
      </c>
      <c r="F6" s="19">
        <v>-2093</v>
      </c>
      <c r="G6" s="19">
        <v>-5322</v>
      </c>
      <c r="H6" s="19">
        <v>245</v>
      </c>
      <c r="I6" s="19">
        <v>6917</v>
      </c>
      <c r="J6" s="19">
        <v>-10125</v>
      </c>
      <c r="K6" s="19">
        <v>-1823</v>
      </c>
      <c r="L6" s="19">
        <v>-1688</v>
      </c>
    </row>
    <row r="7" spans="1:12" x14ac:dyDescent="0.75">
      <c r="A7" t="s">
        <v>65</v>
      </c>
      <c r="B7" s="19">
        <v>-973</v>
      </c>
      <c r="C7" s="19">
        <v>-76</v>
      </c>
      <c r="D7" s="19">
        <v>-238</v>
      </c>
      <c r="E7" s="19">
        <v>217</v>
      </c>
      <c r="F7" s="19">
        <v>-2723</v>
      </c>
      <c r="G7" s="19">
        <v>828</v>
      </c>
      <c r="H7" s="19">
        <v>-289</v>
      </c>
      <c r="I7" s="19">
        <v>-127</v>
      </c>
      <c r="J7" s="19">
        <v>-2642</v>
      </c>
      <c r="K7" s="19">
        <v>1484</v>
      </c>
      <c r="L7" s="19">
        <v>-1618</v>
      </c>
    </row>
    <row r="8" spans="1:12" x14ac:dyDescent="0.75">
      <c r="A8" t="s">
        <v>66</v>
      </c>
      <c r="B8" s="19">
        <v>2340</v>
      </c>
      <c r="C8" s="19">
        <v>5938</v>
      </c>
      <c r="D8" s="19">
        <v>5001</v>
      </c>
      <c r="E8" s="19">
        <v>2117</v>
      </c>
      <c r="F8" s="19">
        <v>8966</v>
      </c>
      <c r="G8" s="19">
        <v>9175</v>
      </c>
      <c r="H8" s="19">
        <v>-1923</v>
      </c>
      <c r="I8" s="19">
        <v>-4062</v>
      </c>
      <c r="J8" s="19">
        <v>12326</v>
      </c>
      <c r="K8" s="19">
        <v>9448</v>
      </c>
      <c r="L8" s="19">
        <v>-1889</v>
      </c>
    </row>
    <row r="9" spans="1:12" x14ac:dyDescent="0.75">
      <c r="A9" t="s">
        <v>67</v>
      </c>
      <c r="B9" s="19">
        <v>7283</v>
      </c>
      <c r="C9" s="19">
        <v>5417</v>
      </c>
      <c r="D9" s="19">
        <v>6082</v>
      </c>
      <c r="E9" s="19">
        <v>-2456</v>
      </c>
      <c r="F9" s="19">
        <v>-9073</v>
      </c>
      <c r="G9" s="19">
        <v>30013</v>
      </c>
      <c r="H9" s="19">
        <v>-1521</v>
      </c>
      <c r="I9" s="19">
        <v>2962</v>
      </c>
      <c r="J9" s="19">
        <v>4470</v>
      </c>
      <c r="K9" s="19">
        <v>-7909</v>
      </c>
      <c r="L9" s="19">
        <v>-1382</v>
      </c>
    </row>
    <row r="10" spans="1:12" x14ac:dyDescent="0.75">
      <c r="A10" t="s">
        <v>68</v>
      </c>
      <c r="B10" s="19">
        <v>6478</v>
      </c>
      <c r="C10" s="19">
        <v>7047</v>
      </c>
      <c r="D10" s="19">
        <v>11262</v>
      </c>
      <c r="E10" s="19">
        <v>405</v>
      </c>
      <c r="F10" s="19">
        <v>-4923</v>
      </c>
      <c r="G10" s="19">
        <v>34694</v>
      </c>
      <c r="H10" s="19">
        <v>-3488</v>
      </c>
      <c r="I10" s="19">
        <v>5690</v>
      </c>
      <c r="J10" s="19">
        <v>-4911</v>
      </c>
      <c r="K10" s="19">
        <v>1200</v>
      </c>
      <c r="L10" s="19">
        <v>-6577</v>
      </c>
    </row>
    <row r="11" spans="1:12" x14ac:dyDescent="0.75">
      <c r="A11" t="s">
        <v>69</v>
      </c>
      <c r="B11" s="19">
        <v>53666</v>
      </c>
      <c r="C11" s="19">
        <v>59713</v>
      </c>
      <c r="D11" s="19">
        <v>81266</v>
      </c>
      <c r="E11" s="19">
        <v>66231</v>
      </c>
      <c r="F11" s="19">
        <v>64225</v>
      </c>
      <c r="G11" s="19">
        <v>77434</v>
      </c>
      <c r="H11" s="19">
        <v>69391</v>
      </c>
      <c r="I11" s="19">
        <v>80674</v>
      </c>
      <c r="J11" s="19">
        <v>104038</v>
      </c>
      <c r="K11" s="19">
        <v>122151</v>
      </c>
      <c r="L11" s="19">
        <v>110543</v>
      </c>
    </row>
    <row r="12" spans="1:12" x14ac:dyDescent="0.75">
      <c r="A12" t="s">
        <v>70</v>
      </c>
      <c r="B12" s="19">
        <v>-8165</v>
      </c>
      <c r="C12" s="19">
        <v>-9571</v>
      </c>
      <c r="D12" s="19">
        <v>-11247</v>
      </c>
      <c r="E12" s="19">
        <v>-12734</v>
      </c>
      <c r="F12" s="19">
        <v>-12451</v>
      </c>
      <c r="G12" s="19">
        <v>-13313</v>
      </c>
      <c r="H12" s="19">
        <v>-10495</v>
      </c>
      <c r="I12" s="19">
        <v>-7309</v>
      </c>
      <c r="J12" s="19">
        <v>-11085</v>
      </c>
      <c r="K12" s="19">
        <v>-10708</v>
      </c>
      <c r="L12" s="19">
        <v>-10959</v>
      </c>
    </row>
    <row r="13" spans="1:12" x14ac:dyDescent="0.75">
      <c r="A13" t="s">
        <v>71</v>
      </c>
      <c r="B13" s="19">
        <v>-911</v>
      </c>
      <c r="C13" s="19">
        <v>-242</v>
      </c>
      <c r="D13" s="19">
        <v>-241</v>
      </c>
      <c r="E13" s="19">
        <v>-297</v>
      </c>
    </row>
    <row r="14" spans="1:12" x14ac:dyDescent="0.75">
      <c r="A14" t="s">
        <v>72</v>
      </c>
      <c r="B14" s="19">
        <v>496</v>
      </c>
      <c r="C14" s="19">
        <v>-3765</v>
      </c>
      <c r="D14" s="19">
        <v>-343</v>
      </c>
      <c r="F14" s="19">
        <v>-329</v>
      </c>
      <c r="G14" s="19">
        <v>-721</v>
      </c>
      <c r="H14" s="19">
        <v>-624</v>
      </c>
      <c r="I14" s="19">
        <v>-1524</v>
      </c>
    </row>
    <row r="15" spans="1:12" x14ac:dyDescent="0.75">
      <c r="A15" t="s">
        <v>73</v>
      </c>
      <c r="B15" s="19">
        <v>-24042</v>
      </c>
      <c r="C15" s="19">
        <v>-9017</v>
      </c>
      <c r="D15" s="19">
        <v>44417</v>
      </c>
      <c r="E15" s="19">
        <v>-30634</v>
      </c>
      <c r="F15" s="19">
        <v>-33147</v>
      </c>
      <c r="G15" s="19">
        <v>32363</v>
      </c>
      <c r="H15" s="19">
        <v>57460</v>
      </c>
      <c r="I15" s="19">
        <v>5453</v>
      </c>
      <c r="J15" s="19">
        <v>-3075</v>
      </c>
      <c r="K15" s="19">
        <v>-9560</v>
      </c>
      <c r="L15" s="19">
        <v>16001</v>
      </c>
    </row>
    <row r="16" spans="1:12" x14ac:dyDescent="0.75">
      <c r="A16" t="s">
        <v>74</v>
      </c>
      <c r="C16" s="19">
        <v>-10</v>
      </c>
      <c r="E16" s="19">
        <v>-1388</v>
      </c>
      <c r="F16" s="19">
        <v>-395</v>
      </c>
      <c r="G16" s="19">
        <v>-1518</v>
      </c>
      <c r="H16" s="19">
        <v>633</v>
      </c>
    </row>
    <row r="17" spans="1:12" x14ac:dyDescent="0.75">
      <c r="A17" t="s">
        <v>75</v>
      </c>
      <c r="B17" s="19">
        <v>-24042</v>
      </c>
      <c r="C17" s="19">
        <v>-9027</v>
      </c>
      <c r="D17" s="19">
        <v>44417</v>
      </c>
      <c r="E17" s="19">
        <v>-32022</v>
      </c>
      <c r="F17" s="19">
        <v>-33542</v>
      </c>
      <c r="G17" s="19">
        <v>30845</v>
      </c>
      <c r="H17" s="19">
        <v>58093</v>
      </c>
      <c r="I17" s="19">
        <v>5453</v>
      </c>
      <c r="J17" s="19">
        <v>-3075</v>
      </c>
      <c r="K17" s="19">
        <v>-9560</v>
      </c>
      <c r="L17" s="19">
        <v>16001</v>
      </c>
    </row>
    <row r="18" spans="1:12" x14ac:dyDescent="0.75">
      <c r="A18" t="s">
        <v>76</v>
      </c>
      <c r="B18" s="19">
        <v>-160</v>
      </c>
      <c r="C18" s="19">
        <v>26</v>
      </c>
      <c r="D18" s="19">
        <v>-26</v>
      </c>
      <c r="E18" s="19">
        <v>-924</v>
      </c>
      <c r="F18" s="19">
        <v>-124</v>
      </c>
      <c r="G18" s="19">
        <v>-745</v>
      </c>
      <c r="H18" s="19">
        <v>-1078</v>
      </c>
      <c r="I18" s="19">
        <v>-909</v>
      </c>
      <c r="J18" s="19">
        <v>-385</v>
      </c>
      <c r="K18" s="19">
        <v>-2086</v>
      </c>
      <c r="L18" s="19">
        <v>-1337</v>
      </c>
    </row>
    <row r="19" spans="1:12" x14ac:dyDescent="0.75">
      <c r="A19" t="s">
        <v>77</v>
      </c>
      <c r="B19" s="19">
        <v>-33774</v>
      </c>
      <c r="C19" s="19">
        <v>-22579</v>
      </c>
      <c r="D19" s="19">
        <v>-56274</v>
      </c>
      <c r="E19" s="19">
        <v>45977</v>
      </c>
      <c r="F19" s="19">
        <v>46446</v>
      </c>
      <c r="G19" s="19">
        <v>16066</v>
      </c>
      <c r="H19" s="19">
        <v>45896</v>
      </c>
      <c r="I19" s="19">
        <v>4289</v>
      </c>
      <c r="J19" s="19">
        <v>-14545</v>
      </c>
      <c r="K19" s="19">
        <v>-22354</v>
      </c>
      <c r="L19" s="19">
        <v>3705</v>
      </c>
    </row>
    <row r="20" spans="1:12" x14ac:dyDescent="0.75">
      <c r="A20" t="s">
        <v>78</v>
      </c>
      <c r="B20" s="19">
        <v>16896</v>
      </c>
      <c r="C20" s="19">
        <v>11960</v>
      </c>
      <c r="D20" s="19">
        <v>27114</v>
      </c>
      <c r="E20" s="19">
        <v>22454</v>
      </c>
      <c r="F20" s="19">
        <v>25162</v>
      </c>
      <c r="G20" s="19">
        <v>469</v>
      </c>
      <c r="H20" s="19">
        <v>-1842</v>
      </c>
      <c r="I20" s="19">
        <v>3462</v>
      </c>
      <c r="J20" s="19">
        <v>11643</v>
      </c>
      <c r="K20" s="19">
        <v>4078</v>
      </c>
      <c r="L20" s="19">
        <v>-5923</v>
      </c>
    </row>
    <row r="21" spans="1:12" x14ac:dyDescent="0.75">
      <c r="A21" t="s">
        <v>79</v>
      </c>
      <c r="C21" s="19">
        <v>6306</v>
      </c>
      <c r="D21" s="19">
        <v>2191</v>
      </c>
      <c r="E21" s="19">
        <v>-397</v>
      </c>
      <c r="F21" s="19">
        <v>3852</v>
      </c>
      <c r="G21" s="19">
        <v>-37</v>
      </c>
      <c r="H21" s="19">
        <v>-5977</v>
      </c>
      <c r="I21" s="19">
        <v>-963</v>
      </c>
      <c r="J21" s="19">
        <v>1022</v>
      </c>
      <c r="K21" s="19">
        <v>3955</v>
      </c>
      <c r="L21" s="19">
        <v>-3978</v>
      </c>
    </row>
    <row r="22" spans="1:12" x14ac:dyDescent="0.75">
      <c r="A22" t="s">
        <v>80</v>
      </c>
      <c r="B22" s="19">
        <v>16896</v>
      </c>
      <c r="C22" s="19">
        <v>18266</v>
      </c>
      <c r="D22" s="19">
        <v>29305</v>
      </c>
      <c r="E22" s="19">
        <v>22057</v>
      </c>
      <c r="F22" s="19">
        <v>29014</v>
      </c>
      <c r="G22" s="19">
        <v>432</v>
      </c>
      <c r="H22" s="19">
        <v>-7819</v>
      </c>
      <c r="I22" s="19">
        <v>2499</v>
      </c>
      <c r="J22" s="19">
        <v>12665</v>
      </c>
      <c r="K22" s="19">
        <v>-123</v>
      </c>
      <c r="L22" s="19">
        <v>-9901</v>
      </c>
    </row>
    <row r="23" spans="1:12" x14ac:dyDescent="0.75">
      <c r="A23" t="s">
        <v>81</v>
      </c>
      <c r="B23" s="19">
        <v>-22330</v>
      </c>
      <c r="C23" s="19">
        <v>-44270</v>
      </c>
      <c r="D23" s="19">
        <v>-34710</v>
      </c>
      <c r="E23" s="19">
        <v>-30797</v>
      </c>
      <c r="F23" s="19">
        <v>-32345</v>
      </c>
      <c r="G23" s="19">
        <v>-72069</v>
      </c>
      <c r="H23" s="19">
        <v>-66116</v>
      </c>
      <c r="I23" s="19">
        <v>-72358</v>
      </c>
      <c r="J23" s="19">
        <v>-85971</v>
      </c>
      <c r="K23" s="19">
        <v>-89402</v>
      </c>
      <c r="L23" s="19">
        <v>-77550</v>
      </c>
    </row>
    <row r="24" spans="1:12" x14ac:dyDescent="0.75">
      <c r="A24" t="s">
        <v>88</v>
      </c>
      <c r="B24" s="19">
        <v>-22330</v>
      </c>
      <c r="C24" s="19">
        <v>-44270</v>
      </c>
      <c r="D24" s="19">
        <v>-34710</v>
      </c>
      <c r="E24" s="19">
        <v>-30797</v>
      </c>
      <c r="F24" s="19">
        <v>-32345</v>
      </c>
      <c r="G24" s="19">
        <v>-72069</v>
      </c>
      <c r="H24" s="19">
        <v>-66116</v>
      </c>
      <c r="I24" s="19">
        <v>-72358</v>
      </c>
      <c r="J24" s="19">
        <v>-85971</v>
      </c>
      <c r="K24" s="19">
        <v>-89402</v>
      </c>
      <c r="L24" s="19">
        <v>-77550</v>
      </c>
    </row>
    <row r="25" spans="1:12" x14ac:dyDescent="0.75">
      <c r="A25" t="s">
        <v>89</v>
      </c>
      <c r="B25" s="19">
        <v>-10564</v>
      </c>
      <c r="C25" s="19">
        <v>-11126</v>
      </c>
      <c r="D25" s="19">
        <v>-11561</v>
      </c>
      <c r="E25" s="19">
        <v>-12150</v>
      </c>
      <c r="F25" s="19">
        <v>-12769</v>
      </c>
      <c r="G25" s="19">
        <v>-13712</v>
      </c>
      <c r="H25" s="19">
        <v>-14119</v>
      </c>
      <c r="I25" s="19">
        <v>-14081</v>
      </c>
      <c r="J25" s="19">
        <v>-14467</v>
      </c>
      <c r="K25" s="19">
        <v>-14841</v>
      </c>
      <c r="L25" s="19">
        <v>-15025</v>
      </c>
    </row>
    <row r="26" spans="1:12" x14ac:dyDescent="0.75">
      <c r="A26" t="s">
        <v>82</v>
      </c>
      <c r="B26" s="19">
        <v>-381</v>
      </c>
      <c r="C26" s="19">
        <v>-419</v>
      </c>
      <c r="D26" s="19">
        <v>-750</v>
      </c>
      <c r="F26" s="19">
        <v>-1874</v>
      </c>
      <c r="G26" s="19">
        <v>-2527</v>
      </c>
      <c r="H26" s="19">
        <v>-2922</v>
      </c>
      <c r="I26" s="19">
        <v>-2880</v>
      </c>
      <c r="J26" s="19">
        <v>-5580</v>
      </c>
      <c r="K26" s="19">
        <v>-6383</v>
      </c>
      <c r="L26" s="19">
        <v>-6012</v>
      </c>
    </row>
    <row r="27" spans="1:12" x14ac:dyDescent="0.75">
      <c r="A27" t="s">
        <v>83</v>
      </c>
      <c r="B27" s="19">
        <v>-16379</v>
      </c>
      <c r="C27" s="19">
        <v>-37549</v>
      </c>
      <c r="D27" s="19">
        <v>-17716</v>
      </c>
      <c r="E27" s="19">
        <v>-20890</v>
      </c>
      <c r="F27" s="19">
        <v>-17974</v>
      </c>
      <c r="G27" s="19">
        <v>-87876</v>
      </c>
      <c r="H27" s="19">
        <v>-90976</v>
      </c>
      <c r="I27" s="19">
        <v>-86820</v>
      </c>
      <c r="J27" s="19">
        <v>-93353</v>
      </c>
      <c r="K27" s="19">
        <v>-110749</v>
      </c>
      <c r="L27" s="19">
        <v>-108488</v>
      </c>
    </row>
    <row r="28" spans="1:12" x14ac:dyDescent="0.75">
      <c r="A28" t="s">
        <v>84</v>
      </c>
      <c r="B28" s="19">
        <v>3513</v>
      </c>
      <c r="C28" s="19">
        <v>415</v>
      </c>
      <c r="D28" s="19">
        <v>7276</v>
      </c>
      <c r="E28" s="19">
        <v>-636</v>
      </c>
      <c r="F28" s="19">
        <v>-195</v>
      </c>
      <c r="G28" s="19">
        <v>5624</v>
      </c>
      <c r="H28" s="19">
        <v>24311</v>
      </c>
      <c r="I28" s="19">
        <v>-10435</v>
      </c>
      <c r="J28" s="19">
        <v>-3860</v>
      </c>
      <c r="K28" s="19">
        <v>-10952</v>
      </c>
      <c r="L28" s="19">
        <v>5760</v>
      </c>
    </row>
    <row r="29" spans="1:12" x14ac:dyDescent="0.75">
      <c r="A29" t="s">
        <v>85</v>
      </c>
      <c r="B29" s="19">
        <v>2253</v>
      </c>
      <c r="C29" s="19">
        <v>2863</v>
      </c>
      <c r="D29" s="19">
        <v>3586</v>
      </c>
      <c r="E29" s="19">
        <v>4210</v>
      </c>
      <c r="F29" s="19">
        <v>4840</v>
      </c>
      <c r="G29" s="19">
        <v>5340</v>
      </c>
      <c r="H29" s="19">
        <v>6068</v>
      </c>
      <c r="I29" s="19">
        <v>6829</v>
      </c>
      <c r="J29" s="19">
        <v>7906</v>
      </c>
      <c r="K29" s="19">
        <v>9038</v>
      </c>
      <c r="L29" s="19">
        <v>10833</v>
      </c>
    </row>
    <row r="30" spans="1:12" x14ac:dyDescent="0.75">
      <c r="A30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9FA6-F40B-4031-9B30-E0DD4C4332A4}">
  <dimension ref="A1:I21"/>
  <sheetViews>
    <sheetView workbookViewId="0">
      <selection activeCell="D9" sqref="D9"/>
    </sheetView>
  </sheetViews>
  <sheetFormatPr defaultRowHeight="14.75" x14ac:dyDescent="0.75"/>
  <cols>
    <col min="1" max="1" width="1.5" bestFit="1" customWidth="1"/>
    <col min="2" max="2" width="68.40625" bestFit="1" customWidth="1"/>
    <col min="4" max="4" width="13.40625" bestFit="1" customWidth="1"/>
  </cols>
  <sheetData>
    <row r="1" spans="1:9" ht="21.75" x14ac:dyDescent="1.1000000000000001">
      <c r="A1" s="4"/>
      <c r="B1" s="5" t="s">
        <v>5</v>
      </c>
      <c r="C1" s="4"/>
      <c r="D1" s="4"/>
      <c r="E1" s="4"/>
      <c r="F1" s="4"/>
      <c r="G1" s="4"/>
      <c r="H1" s="4"/>
      <c r="I1" s="4"/>
    </row>
    <row r="3" spans="1:9" x14ac:dyDescent="0.75">
      <c r="A3" t="s">
        <v>6</v>
      </c>
      <c r="B3" s="6" t="s">
        <v>5</v>
      </c>
      <c r="C3" s="7"/>
      <c r="D3" s="7"/>
      <c r="E3" s="7"/>
      <c r="F3" s="7"/>
      <c r="G3" s="7"/>
      <c r="H3" s="7"/>
      <c r="I3" s="7"/>
    </row>
    <row r="4" spans="1:9" x14ac:dyDescent="0.75">
      <c r="B4" s="1" t="s">
        <v>7</v>
      </c>
    </row>
    <row r="5" spans="1:9" x14ac:dyDescent="0.75">
      <c r="B5" s="1" t="s">
        <v>8</v>
      </c>
    </row>
    <row r="7" spans="1:9" x14ac:dyDescent="0.75">
      <c r="B7" t="s">
        <v>9</v>
      </c>
      <c r="D7" s="78">
        <f>BALACNCESHEET!B20</f>
        <v>83451</v>
      </c>
    </row>
    <row r="8" spans="1:9" x14ac:dyDescent="0.75">
      <c r="B8" t="s">
        <v>10</v>
      </c>
      <c r="D8" s="9">
        <f>D7/D19</f>
        <v>2.8821775116865803E-2</v>
      </c>
    </row>
    <row r="9" spans="1:9" x14ac:dyDescent="0.75">
      <c r="B9" t="s">
        <v>11</v>
      </c>
      <c r="D9" s="9">
        <v>1.84E-2</v>
      </c>
    </row>
    <row r="10" spans="1:9" x14ac:dyDescent="0.75">
      <c r="B10" t="s">
        <v>12</v>
      </c>
      <c r="D10" s="9">
        <v>0.15</v>
      </c>
    </row>
    <row r="12" spans="1:9" x14ac:dyDescent="0.75">
      <c r="B12" t="s">
        <v>13</v>
      </c>
      <c r="D12" s="78">
        <v>2811964</v>
      </c>
    </row>
    <row r="13" spans="1:9" x14ac:dyDescent="0.75">
      <c r="B13" t="s">
        <v>14</v>
      </c>
      <c r="D13" s="9">
        <f>D12/D19</f>
        <v>0.97117822488313421</v>
      </c>
    </row>
    <row r="14" spans="1:9" x14ac:dyDescent="0.75">
      <c r="B14" t="s">
        <v>15</v>
      </c>
      <c r="D14" s="9">
        <f>D15+D16*D17</f>
        <v>0.1045</v>
      </c>
    </row>
    <row r="15" spans="1:9" x14ac:dyDescent="0.75">
      <c r="B15" t="s">
        <v>16</v>
      </c>
      <c r="D15" s="9">
        <v>4.4999999999999998E-2</v>
      </c>
    </row>
    <row r="16" spans="1:9" x14ac:dyDescent="0.75">
      <c r="B16" t="s">
        <v>17</v>
      </c>
      <c r="D16" s="10">
        <v>1.19</v>
      </c>
    </row>
    <row r="17" spans="1:4" x14ac:dyDescent="0.75">
      <c r="B17" t="s">
        <v>18</v>
      </c>
      <c r="D17" s="9">
        <v>0.05</v>
      </c>
    </row>
    <row r="18" spans="1:4" x14ac:dyDescent="0.75">
      <c r="D18" s="8"/>
    </row>
    <row r="19" spans="1:4" x14ac:dyDescent="0.75">
      <c r="B19" t="s">
        <v>19</v>
      </c>
      <c r="D19" s="78">
        <f>D12+D7</f>
        <v>2895415</v>
      </c>
    </row>
    <row r="21" spans="1:4" x14ac:dyDescent="0.75">
      <c r="A21" t="s">
        <v>6</v>
      </c>
      <c r="B21" s="11" t="s">
        <v>5</v>
      </c>
      <c r="C21" s="12"/>
      <c r="D21" s="13">
        <f>(D13*D14)+(D8*D9*(1-D10))</f>
        <v>0.10193889706311531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DCF</vt:lpstr>
      <vt:lpstr>BALACNCESHEET</vt:lpstr>
      <vt:lpstr>IS</vt:lpstr>
      <vt:lpstr>CASHFLOW</vt:lpstr>
      <vt:lpstr>WACC</vt:lpstr>
      <vt:lpstr>tgr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 Paudel</dc:creator>
  <cp:lastModifiedBy>Anuj Paudel</cp:lastModifiedBy>
  <dcterms:created xsi:type="dcterms:W3CDTF">2024-05-15T04:37:17Z</dcterms:created>
  <dcterms:modified xsi:type="dcterms:W3CDTF">2024-09-24T15:41:35Z</dcterms:modified>
</cp:coreProperties>
</file>